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Lynn\Documents\- Personal\RRWD\Financials\Financial Reports\FY2025 [Oct 2024-Sep 2025]\"/>
    </mc:Choice>
  </mc:AlternateContent>
  <xr:revisionPtr revIDLastSave="0" documentId="13_ncr:1_{9EBED39B-544A-494F-9EFF-EDE74EE5D234}" xr6:coauthVersionLast="47" xr6:coauthVersionMax="47" xr10:uidLastSave="{00000000-0000-0000-0000-000000000000}"/>
  <bookViews>
    <workbookView xWindow="-108" yWindow="-108" windowWidth="23256" windowHeight="12576" tabRatio="732" xr2:uid="{7BF5CAB5-0720-4AE8-B252-424FFE47CE19}"/>
  </bookViews>
  <sheets>
    <sheet name="FY25 Overview" sheetId="5" r:id="rId1"/>
    <sheet name="FY25 Income &amp; Expenses" sheetId="4" r:id="rId2"/>
    <sheet name="Aging" sheetId="6" r:id="rId3"/>
    <sheet name="PGE" sheetId="7" r:id="rId4"/>
    <sheet name="FY25 Budget" sheetId="8" r:id="rId5"/>
    <sheet name="Bank Statements" sheetId="9" r:id="rId6"/>
    <sheet name="Intuit Deposits &amp; Fees" sheetId="12" r:id="rId7"/>
    <sheet name="2020-2024 FYE Numbers" sheetId="11" r:id="rId8"/>
  </sheets>
  <definedNames>
    <definedName name="_xlnm._FilterDatabase" localSheetId="3" hidden="1">PGE!$A$3:$Z$48</definedName>
    <definedName name="_xlnm.Print_Area" localSheetId="2">Aging!$A$1:$I$14</definedName>
    <definedName name="_xlnm.Print_Area" localSheetId="0">'FY25 Overview'!$A$1:$G$25</definedName>
    <definedName name="_xlnm.Print_Area" localSheetId="3">PGE!$A$1:$X$3,PGE!$A$54:$X$70</definedName>
    <definedName name="_xlnm.Print_Titles" localSheetId="3">PGE!$1:$3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5" l="1"/>
  <c r="C19" i="5"/>
  <c r="B16" i="5"/>
  <c r="E16" i="5"/>
  <c r="D16" i="5"/>
  <c r="C16" i="5"/>
  <c r="AE43" i="7"/>
  <c r="AD43" i="7"/>
  <c r="AC43" i="7"/>
  <c r="X84" i="7"/>
  <c r="W84" i="7"/>
  <c r="V84" i="7"/>
  <c r="F84" i="7"/>
  <c r="G84" i="7"/>
  <c r="O84" i="7"/>
  <c r="N84" i="7"/>
  <c r="K84" i="7"/>
  <c r="L84" i="7"/>
  <c r="T53" i="9"/>
  <c r="S53" i="9"/>
  <c r="P52" i="9"/>
  <c r="P53" i="9"/>
  <c r="F53" i="9"/>
  <c r="H53" i="9" s="1"/>
  <c r="E53" i="9"/>
  <c r="D53" i="9"/>
  <c r="G79" i="12"/>
  <c r="F79" i="12"/>
  <c r="E79" i="12"/>
  <c r="D79" i="12"/>
  <c r="D78" i="12"/>
  <c r="D77" i="12"/>
  <c r="D76" i="12"/>
  <c r="G53" i="9"/>
  <c r="N53" i="9"/>
  <c r="M53" i="9"/>
  <c r="J53" i="9"/>
  <c r="P54" i="4"/>
  <c r="P53" i="4"/>
  <c r="O53" i="4"/>
  <c r="P39" i="4"/>
  <c r="P38" i="4"/>
  <c r="P36" i="4"/>
  <c r="P35" i="4"/>
  <c r="P34" i="4"/>
  <c r="P33" i="4"/>
  <c r="P32" i="4"/>
  <c r="P31" i="4"/>
  <c r="P30" i="4"/>
  <c r="P29" i="4"/>
  <c r="P27" i="4"/>
  <c r="P26" i="4"/>
  <c r="P25" i="4"/>
  <c r="P24" i="4"/>
  <c r="P22" i="4"/>
  <c r="P21" i="4"/>
  <c r="P20" i="4"/>
  <c r="P19" i="4"/>
  <c r="P18" i="4"/>
  <c r="P17" i="4"/>
  <c r="P15" i="4"/>
  <c r="P41" i="4"/>
  <c r="P42" i="4"/>
  <c r="P43" i="4"/>
  <c r="P44" i="4"/>
  <c r="P46" i="4"/>
  <c r="O49" i="4"/>
  <c r="P49" i="4" s="1"/>
  <c r="P14" i="4"/>
  <c r="P16" i="4"/>
  <c r="P13" i="4"/>
  <c r="P8" i="4"/>
  <c r="P5" i="4"/>
  <c r="P6" i="4"/>
  <c r="D41" i="4"/>
  <c r="N4" i="4" l="1"/>
  <c r="P50" i="4"/>
  <c r="N18" i="4"/>
  <c r="N33" i="4"/>
  <c r="N32" i="4"/>
  <c r="G16" i="5"/>
  <c r="D74" i="12" l="1"/>
  <c r="F32" i="4"/>
  <c r="E32" i="4"/>
  <c r="E49" i="4" s="1"/>
  <c r="Q15" i="4"/>
  <c r="Q16" i="4"/>
  <c r="Q17" i="4"/>
  <c r="Q18" i="4"/>
  <c r="D75" i="12"/>
  <c r="M49" i="4"/>
  <c r="C67" i="12" l="1"/>
  <c r="D73" i="12"/>
  <c r="D72" i="12"/>
  <c r="D71" i="12"/>
  <c r="D70" i="12"/>
  <c r="D69" i="12"/>
  <c r="D68" i="12"/>
  <c r="B67" i="12"/>
  <c r="G15" i="4"/>
  <c r="N46" i="4"/>
  <c r="N49" i="4" s="1"/>
  <c r="Q48" i="8"/>
  <c r="X74" i="7"/>
  <c r="W74" i="7"/>
  <c r="V74" i="7"/>
  <c r="O74" i="7"/>
  <c r="R74" i="7" s="1"/>
  <c r="N74" i="7"/>
  <c r="L74" i="7"/>
  <c r="K74" i="7"/>
  <c r="X76" i="7"/>
  <c r="W76" i="7"/>
  <c r="V76" i="7"/>
  <c r="N76" i="7"/>
  <c r="O76" i="7"/>
  <c r="R76" i="7" s="1"/>
  <c r="L76" i="7"/>
  <c r="K76" i="7"/>
  <c r="W78" i="7"/>
  <c r="V78" i="7"/>
  <c r="N78" i="7"/>
  <c r="O78" i="7"/>
  <c r="R78" i="7" s="1"/>
  <c r="L78" i="7"/>
  <c r="K78" i="7"/>
  <c r="O80" i="7"/>
  <c r="R80" i="7" s="1"/>
  <c r="N80" i="7"/>
  <c r="X80" i="7"/>
  <c r="W80" i="7"/>
  <c r="V80" i="7"/>
  <c r="K80" i="7"/>
  <c r="L80" i="7"/>
  <c r="K81" i="7"/>
  <c r="L81" i="7"/>
  <c r="K82" i="7"/>
  <c r="L82" i="7"/>
  <c r="X81" i="7"/>
  <c r="W81" i="7"/>
  <c r="V81" i="7"/>
  <c r="X83" i="7"/>
  <c r="W83" i="7"/>
  <c r="V83" i="7"/>
  <c r="L83" i="7"/>
  <c r="K83" i="7"/>
  <c r="X69" i="7"/>
  <c r="W69" i="7"/>
  <c r="V69" i="7"/>
  <c r="L69" i="7"/>
  <c r="K69" i="7"/>
  <c r="N69" i="7"/>
  <c r="N70" i="7"/>
  <c r="O69" i="7"/>
  <c r="R69" i="7" s="1"/>
  <c r="O70" i="7"/>
  <c r="N71" i="7"/>
  <c r="O71" i="7"/>
  <c r="R71" i="7" s="1"/>
  <c r="L71" i="7"/>
  <c r="K71" i="7"/>
  <c r="N66" i="7"/>
  <c r="O66" i="7"/>
  <c r="N67" i="7"/>
  <c r="O67" i="7"/>
  <c r="R67" i="7" s="1"/>
  <c r="L67" i="7"/>
  <c r="K67" i="7"/>
  <c r="K65" i="7"/>
  <c r="L65" i="7"/>
  <c r="O65" i="7"/>
  <c r="N65" i="7"/>
  <c r="Q65" i="7" s="1"/>
  <c r="N63" i="7"/>
  <c r="O63" i="7"/>
  <c r="R63" i="7" s="1"/>
  <c r="K63" i="7"/>
  <c r="L63" i="7"/>
  <c r="F81" i="7"/>
  <c r="G81" i="7"/>
  <c r="V79" i="7"/>
  <c r="F79" i="7"/>
  <c r="G79" i="7"/>
  <c r="F77" i="7"/>
  <c r="G77" i="7"/>
  <c r="F75" i="7"/>
  <c r="G75" i="7"/>
  <c r="F73" i="7"/>
  <c r="G73" i="7"/>
  <c r="G72" i="7"/>
  <c r="F72" i="7"/>
  <c r="N77" i="7"/>
  <c r="N79" i="7"/>
  <c r="N81" i="7"/>
  <c r="N82" i="7"/>
  <c r="N83" i="7"/>
  <c r="F82" i="7"/>
  <c r="G82" i="7"/>
  <c r="O77" i="7"/>
  <c r="R77" i="7" s="1"/>
  <c r="O79" i="7"/>
  <c r="R79" i="7" s="1"/>
  <c r="O81" i="7"/>
  <c r="R81" i="7" s="1"/>
  <c r="O82" i="7"/>
  <c r="R82" i="7" s="1"/>
  <c r="O83" i="7"/>
  <c r="R83" i="7" s="1"/>
  <c r="G83" i="7"/>
  <c r="F83" i="7"/>
  <c r="X70" i="7"/>
  <c r="W70" i="7"/>
  <c r="V70" i="7"/>
  <c r="J46" i="4"/>
  <c r="M52" i="9"/>
  <c r="M54" i="9" s="1"/>
  <c r="J52" i="9"/>
  <c r="D52" i="9"/>
  <c r="F66" i="12"/>
  <c r="E52" i="9" s="1"/>
  <c r="F52" i="9" s="1"/>
  <c r="E66" i="12"/>
  <c r="G52" i="9"/>
  <c r="G54" i="9" s="1"/>
  <c r="D66" i="12"/>
  <c r="D65" i="12"/>
  <c r="G66" i="12" s="1"/>
  <c r="L54" i="9"/>
  <c r="O54" i="9"/>
  <c r="K54" i="9"/>
  <c r="I41" i="9"/>
  <c r="O41" i="9"/>
  <c r="S41" i="9"/>
  <c r="T15" i="9"/>
  <c r="I15" i="9"/>
  <c r="J15" i="9"/>
  <c r="K15" i="9"/>
  <c r="O15" i="9"/>
  <c r="R15" i="9"/>
  <c r="S15" i="9"/>
  <c r="T28" i="9"/>
  <c r="S28" i="9"/>
  <c r="R28" i="9"/>
  <c r="O28" i="9"/>
  <c r="C54" i="9"/>
  <c r="C41" i="9"/>
  <c r="E28" i="9"/>
  <c r="D28" i="9"/>
  <c r="E15" i="9"/>
  <c r="D15" i="9"/>
  <c r="J51" i="9"/>
  <c r="F64" i="12"/>
  <c r="E51" i="9" s="1"/>
  <c r="F51" i="9" s="1"/>
  <c r="E64" i="12"/>
  <c r="D51" i="9" s="1"/>
  <c r="D64" i="12"/>
  <c r="D63" i="12"/>
  <c r="D62" i="12"/>
  <c r="D61" i="12"/>
  <c r="D60" i="12"/>
  <c r="D59" i="12"/>
  <c r="D58" i="12"/>
  <c r="D57" i="12"/>
  <c r="D56" i="12"/>
  <c r="D55" i="12"/>
  <c r="D54" i="12"/>
  <c r="D53" i="12"/>
  <c r="J50" i="9"/>
  <c r="F52" i="12"/>
  <c r="E50" i="9" s="1"/>
  <c r="F50" i="9" s="1"/>
  <c r="E52" i="12"/>
  <c r="D50" i="9" s="1"/>
  <c r="D52" i="12"/>
  <c r="D51" i="12"/>
  <c r="D15" i="5"/>
  <c r="G15" i="5"/>
  <c r="L44" i="4"/>
  <c r="L43" i="4"/>
  <c r="L42" i="4"/>
  <c r="L49" i="4" s="1"/>
  <c r="L46" i="4"/>
  <c r="R53" i="9" l="1"/>
  <c r="B83" i="12"/>
  <c r="R51" i="9"/>
  <c r="G64" i="12"/>
  <c r="D67" i="12"/>
  <c r="R52" i="9"/>
  <c r="R65" i="7"/>
  <c r="R50" i="9"/>
  <c r="G52" i="12"/>
  <c r="G14" i="5"/>
  <c r="G13" i="5" l="1"/>
  <c r="K44" i="4"/>
  <c r="K43" i="4"/>
  <c r="K41" i="4"/>
  <c r="K46" i="4"/>
  <c r="K33" i="4"/>
  <c r="K32" i="4"/>
  <c r="K13" i="4"/>
  <c r="K14" i="4"/>
  <c r="F5" i="12"/>
  <c r="F50" i="12"/>
  <c r="E49" i="9" s="1"/>
  <c r="F49" i="9" s="1"/>
  <c r="E50" i="12"/>
  <c r="D49" i="9" s="1"/>
  <c r="F40" i="12"/>
  <c r="E40" i="12"/>
  <c r="E37" i="12"/>
  <c r="F27" i="12"/>
  <c r="E27" i="12"/>
  <c r="E23" i="12"/>
  <c r="F23" i="12"/>
  <c r="F15" i="12"/>
  <c r="E15" i="12"/>
  <c r="F12" i="12"/>
  <c r="E12" i="12"/>
  <c r="E5" i="12"/>
  <c r="D50" i="12"/>
  <c r="D49" i="12"/>
  <c r="D48" i="12"/>
  <c r="D47" i="12"/>
  <c r="D46" i="12"/>
  <c r="D45" i="12"/>
  <c r="D44" i="12"/>
  <c r="D43" i="12"/>
  <c r="D42" i="12"/>
  <c r="D41" i="12"/>
  <c r="J49" i="9"/>
  <c r="J14" i="4"/>
  <c r="J49" i="4" s="1"/>
  <c r="G12" i="5"/>
  <c r="J48" i="9"/>
  <c r="R48" i="9" s="1"/>
  <c r="F48" i="9"/>
  <c r="D40" i="12"/>
  <c r="D39" i="12"/>
  <c r="I14" i="4"/>
  <c r="I49" i="4" s="1"/>
  <c r="D38" i="12"/>
  <c r="G11" i="5"/>
  <c r="N75" i="7"/>
  <c r="O75" i="7"/>
  <c r="R75" i="7" s="1"/>
  <c r="N72" i="7"/>
  <c r="O72" i="7"/>
  <c r="R72" i="7" s="1"/>
  <c r="N73" i="7"/>
  <c r="O73" i="7"/>
  <c r="R73" i="7" s="1"/>
  <c r="D37" i="12"/>
  <c r="D36" i="12"/>
  <c r="D35" i="12"/>
  <c r="D34" i="12"/>
  <c r="D33" i="12"/>
  <c r="D32" i="12"/>
  <c r="D31" i="12"/>
  <c r="C29" i="12"/>
  <c r="C83" i="12" s="1"/>
  <c r="D30" i="12"/>
  <c r="D28" i="12"/>
  <c r="E47" i="9"/>
  <c r="F47" i="9" s="1"/>
  <c r="E46" i="9"/>
  <c r="F46" i="9" s="1"/>
  <c r="J47" i="9"/>
  <c r="R47" i="9" s="1"/>
  <c r="H44" i="4"/>
  <c r="H42" i="4"/>
  <c r="H43" i="4"/>
  <c r="H39" i="4"/>
  <c r="H32" i="4"/>
  <c r="H46" i="4"/>
  <c r="H14" i="4"/>
  <c r="H49" i="4" s="1"/>
  <c r="G9" i="5"/>
  <c r="G10" i="5"/>
  <c r="D15" i="12"/>
  <c r="G41" i="4"/>
  <c r="G44" i="4"/>
  <c r="G42" i="4"/>
  <c r="G43" i="4"/>
  <c r="G14" i="4"/>
  <c r="G31" i="4"/>
  <c r="G13" i="4"/>
  <c r="D46" i="9"/>
  <c r="J46" i="9"/>
  <c r="E45" i="9"/>
  <c r="F45" i="9" s="1"/>
  <c r="D45" i="9"/>
  <c r="J45" i="9"/>
  <c r="E44" i="9"/>
  <c r="F44" i="9" s="1"/>
  <c r="D44" i="9"/>
  <c r="J44" i="9"/>
  <c r="E43" i="9"/>
  <c r="F43" i="9" s="1"/>
  <c r="D43" i="9"/>
  <c r="J43" i="9"/>
  <c r="T30" i="9"/>
  <c r="T31" i="9"/>
  <c r="T32" i="9"/>
  <c r="T33" i="9"/>
  <c r="T34" i="9"/>
  <c r="T35" i="9"/>
  <c r="T36" i="9"/>
  <c r="T37" i="9"/>
  <c r="T38" i="9"/>
  <c r="T29" i="9"/>
  <c r="J42" i="9"/>
  <c r="E42" i="9"/>
  <c r="E83" i="12" l="1"/>
  <c r="G49" i="4"/>
  <c r="K49" i="4"/>
  <c r="E54" i="9"/>
  <c r="R46" i="9"/>
  <c r="R45" i="9"/>
  <c r="R49" i="9"/>
  <c r="G50" i="12"/>
  <c r="D29" i="12"/>
  <c r="G37" i="12" s="1"/>
  <c r="G40" i="12"/>
  <c r="F37" i="12"/>
  <c r="F83" i="12" s="1"/>
  <c r="R43" i="9"/>
  <c r="R44" i="9"/>
  <c r="R39" i="9"/>
  <c r="D27" i="12"/>
  <c r="D20" i="12"/>
  <c r="D21" i="12"/>
  <c r="D22" i="12"/>
  <c r="D23" i="12"/>
  <c r="D24" i="12"/>
  <c r="D25" i="12"/>
  <c r="D26" i="12"/>
  <c r="D14" i="12"/>
  <c r="D16" i="12"/>
  <c r="D17" i="12"/>
  <c r="D18" i="12"/>
  <c r="D19" i="12"/>
  <c r="D13" i="12"/>
  <c r="F14" i="4"/>
  <c r="D12" i="12"/>
  <c r="D11" i="12"/>
  <c r="D3" i="12"/>
  <c r="D4" i="12"/>
  <c r="D5" i="12"/>
  <c r="D6" i="12"/>
  <c r="D7" i="12"/>
  <c r="D8" i="12"/>
  <c r="D9" i="12"/>
  <c r="D10" i="12"/>
  <c r="D2" i="12"/>
  <c r="G83" i="12" l="1"/>
  <c r="T39" i="9"/>
  <c r="G12" i="12"/>
  <c r="G15" i="12"/>
  <c r="G23" i="12"/>
  <c r="G27" i="12"/>
  <c r="G5" i="12"/>
  <c r="D83" i="12"/>
  <c r="F41" i="4" l="1"/>
  <c r="F42" i="4"/>
  <c r="F43" i="4"/>
  <c r="F18" i="4"/>
  <c r="F33" i="4"/>
  <c r="F13" i="4"/>
  <c r="G8" i="5"/>
  <c r="F49" i="4" l="1"/>
  <c r="F42" i="9"/>
  <c r="D42" i="9"/>
  <c r="D54" i="9" s="1"/>
  <c r="E57" i="9" s="1"/>
  <c r="E40" i="9"/>
  <c r="D40" i="9"/>
  <c r="J40" i="9"/>
  <c r="G7" i="5"/>
  <c r="F68" i="7"/>
  <c r="G68" i="7"/>
  <c r="G70" i="7"/>
  <c r="F70" i="7"/>
  <c r="F66" i="7"/>
  <c r="G66" i="7"/>
  <c r="F64" i="7"/>
  <c r="G64" i="7"/>
  <c r="Q70" i="7"/>
  <c r="R70" i="7" s="1"/>
  <c r="O68" i="7"/>
  <c r="N68" i="7"/>
  <c r="Q68" i="7" s="1"/>
  <c r="S59" i="7"/>
  <c r="S60" i="7"/>
  <c r="S61" i="7"/>
  <c r="S62" i="7"/>
  <c r="S64" i="7"/>
  <c r="S66" i="7"/>
  <c r="S68" i="7"/>
  <c r="S70" i="7"/>
  <c r="N64" i="7"/>
  <c r="Q64" i="7" s="1"/>
  <c r="O64" i="7"/>
  <c r="Q66" i="7"/>
  <c r="R66" i="7" s="1"/>
  <c r="C20" i="11"/>
  <c r="D20" i="11"/>
  <c r="D33" i="4"/>
  <c r="D49" i="4" s="1"/>
  <c r="G6" i="5"/>
  <c r="R64" i="7" l="1"/>
  <c r="R68" i="7"/>
  <c r="E56" i="9"/>
  <c r="D41" i="9"/>
  <c r="F40" i="9"/>
  <c r="E41" i="9"/>
  <c r="F54" i="9"/>
  <c r="R42" i="9"/>
  <c r="R40" i="9"/>
  <c r="S16" i="4"/>
  <c r="T16" i="4" s="1"/>
  <c r="G34" i="11"/>
  <c r="G15" i="11"/>
  <c r="G12" i="11"/>
  <c r="G47" i="11" s="1"/>
  <c r="C41" i="4"/>
  <c r="C42" i="4"/>
  <c r="C32" i="4"/>
  <c r="C14" i="4"/>
  <c r="C6" i="4"/>
  <c r="G5" i="5"/>
  <c r="C49" i="4" l="1"/>
  <c r="R54" i="9"/>
  <c r="T40" i="9"/>
  <c r="T41" i="9" s="1"/>
  <c r="R41" i="9"/>
  <c r="O13" i="8"/>
  <c r="I5" i="8"/>
  <c r="J5" i="8"/>
  <c r="K5" i="8"/>
  <c r="L5" i="8"/>
  <c r="M5" i="8"/>
  <c r="N5" i="8"/>
  <c r="H5" i="8"/>
  <c r="D43" i="8"/>
  <c r="E43" i="8"/>
  <c r="F43" i="8"/>
  <c r="G43" i="8"/>
  <c r="H43" i="8"/>
  <c r="I43" i="8"/>
  <c r="J43" i="8"/>
  <c r="K43" i="8"/>
  <c r="L43" i="8"/>
  <c r="M43" i="8"/>
  <c r="N43" i="8"/>
  <c r="C43" i="8"/>
  <c r="C5" i="8"/>
  <c r="Q14" i="4" l="1"/>
  <c r="S14" i="4" s="1"/>
  <c r="T14" i="4" s="1"/>
  <c r="O40" i="8"/>
  <c r="O28" i="8"/>
  <c r="X62" i="7"/>
  <c r="W62" i="7"/>
  <c r="V62" i="7"/>
  <c r="K62" i="7"/>
  <c r="L62" i="7"/>
  <c r="O62" i="7"/>
  <c r="N62" i="7"/>
  <c r="Q62" i="7" s="1"/>
  <c r="F62" i="7"/>
  <c r="G62" i="7"/>
  <c r="E17" i="8"/>
  <c r="J39" i="9"/>
  <c r="F5" i="8"/>
  <c r="D5" i="8"/>
  <c r="E5" i="8"/>
  <c r="G5" i="8"/>
  <c r="O37" i="8"/>
  <c r="R62" i="7" l="1"/>
  <c r="O26" i="8"/>
  <c r="O21" i="8"/>
  <c r="O19" i="8"/>
  <c r="Q5" i="8" l="1"/>
  <c r="E31" i="11" l="1"/>
  <c r="E11" i="11"/>
  <c r="E25" i="11"/>
  <c r="D39" i="11"/>
  <c r="D40" i="11"/>
  <c r="D11" i="11"/>
  <c r="C40" i="11"/>
  <c r="C11" i="11"/>
  <c r="D25" i="11"/>
  <c r="C37" i="11"/>
  <c r="C36" i="11"/>
  <c r="C17" i="11"/>
  <c r="C16" i="11"/>
  <c r="C34" i="11"/>
  <c r="C19" i="11"/>
  <c r="C13" i="11"/>
  <c r="C4" i="11"/>
  <c r="C7" i="11" s="1"/>
  <c r="G49" i="11"/>
  <c r="F47" i="11"/>
  <c r="G7" i="11"/>
  <c r="F7" i="11"/>
  <c r="E7" i="11"/>
  <c r="D7" i="11"/>
  <c r="J38" i="9"/>
  <c r="E47" i="11" l="1"/>
  <c r="D47" i="11"/>
  <c r="C47" i="11"/>
  <c r="X61" i="7" l="1"/>
  <c r="W61" i="7"/>
  <c r="V61" i="7"/>
  <c r="K61" i="7"/>
  <c r="L61" i="7"/>
  <c r="O61" i="7"/>
  <c r="N61" i="7"/>
  <c r="Q61" i="7" s="1"/>
  <c r="F61" i="7"/>
  <c r="G61" i="7"/>
  <c r="J37" i="9"/>
  <c r="X60" i="7"/>
  <c r="W60" i="7"/>
  <c r="V60" i="7"/>
  <c r="F60" i="7"/>
  <c r="G60" i="7"/>
  <c r="N60" i="7"/>
  <c r="Q60" i="7" s="1"/>
  <c r="O60" i="7"/>
  <c r="K60" i="7"/>
  <c r="L60" i="7"/>
  <c r="S58" i="7"/>
  <c r="F36" i="9"/>
  <c r="J36" i="9"/>
  <c r="X59" i="7"/>
  <c r="W59" i="7"/>
  <c r="V59" i="7"/>
  <c r="F59" i="7"/>
  <c r="G59" i="7"/>
  <c r="N59" i="7"/>
  <c r="Q59" i="7" s="1"/>
  <c r="O59" i="7"/>
  <c r="K59" i="7"/>
  <c r="L59" i="7"/>
  <c r="J35" i="9"/>
  <c r="W58" i="7"/>
  <c r="X58" i="7"/>
  <c r="V58" i="7"/>
  <c r="N58" i="7"/>
  <c r="Q58" i="7" s="1"/>
  <c r="O58" i="7"/>
  <c r="K58" i="7"/>
  <c r="L58" i="7"/>
  <c r="F58" i="7"/>
  <c r="G58" i="7"/>
  <c r="S57" i="7"/>
  <c r="S56" i="7"/>
  <c r="S55" i="7"/>
  <c r="S54" i="7"/>
  <c r="R59" i="7" l="1"/>
  <c r="R61" i="7"/>
  <c r="R60" i="7"/>
  <c r="R58" i="7"/>
  <c r="X57" i="7"/>
  <c r="W57" i="7"/>
  <c r="V57" i="7"/>
  <c r="F57" i="7"/>
  <c r="G57" i="7"/>
  <c r="O57" i="7"/>
  <c r="N57" i="7"/>
  <c r="Q57" i="7" s="1"/>
  <c r="K57" i="7"/>
  <c r="L57" i="7"/>
  <c r="H8" i="6"/>
  <c r="G34" i="9"/>
  <c r="G41" i="9" s="1"/>
  <c r="J30" i="9"/>
  <c r="J31" i="9"/>
  <c r="J32" i="9"/>
  <c r="J33" i="9"/>
  <c r="J34" i="9"/>
  <c r="L34" i="9"/>
  <c r="M34" i="9"/>
  <c r="M41" i="9" s="1"/>
  <c r="X56" i="7"/>
  <c r="W56" i="7"/>
  <c r="V56" i="7"/>
  <c r="F56" i="7"/>
  <c r="G56" i="7"/>
  <c r="N56" i="7"/>
  <c r="Q56" i="7" s="1"/>
  <c r="O56" i="7"/>
  <c r="K56" i="7"/>
  <c r="L56" i="7"/>
  <c r="F32" i="9"/>
  <c r="X55" i="7"/>
  <c r="W55" i="7"/>
  <c r="V55" i="7"/>
  <c r="K55" i="7"/>
  <c r="L55" i="7"/>
  <c r="O55" i="7"/>
  <c r="N55" i="7"/>
  <c r="Q55" i="7" s="1"/>
  <c r="F55" i="7"/>
  <c r="G55" i="7"/>
  <c r="R56" i="7" l="1"/>
  <c r="R55" i="7"/>
  <c r="R57" i="7"/>
  <c r="N31" i="9"/>
  <c r="F31" i="9"/>
  <c r="H31" i="9" s="1"/>
  <c r="X54" i="7"/>
  <c r="W54" i="7"/>
  <c r="V54" i="7"/>
  <c r="F54" i="7"/>
  <c r="G54" i="7"/>
  <c r="O54" i="7"/>
  <c r="N54" i="7"/>
  <c r="Q54" i="7" s="1"/>
  <c r="K54" i="7"/>
  <c r="L54" i="7"/>
  <c r="H4" i="6"/>
  <c r="H5" i="6"/>
  <c r="H6" i="6"/>
  <c r="H7" i="6"/>
  <c r="H9" i="6"/>
  <c r="H10" i="6"/>
  <c r="H11" i="6"/>
  <c r="H12" i="6"/>
  <c r="H13" i="6"/>
  <c r="H14" i="6"/>
  <c r="H3" i="6"/>
  <c r="X53" i="7"/>
  <c r="W53" i="7"/>
  <c r="V53" i="7"/>
  <c r="N53" i="7"/>
  <c r="Q53" i="7" s="1"/>
  <c r="O53" i="7"/>
  <c r="L53" i="7"/>
  <c r="K53" i="7"/>
  <c r="X52" i="7"/>
  <c r="W52" i="7"/>
  <c r="V52" i="7"/>
  <c r="N52" i="7"/>
  <c r="Q52" i="7" s="1"/>
  <c r="O52" i="7"/>
  <c r="L52" i="7"/>
  <c r="K52" i="7"/>
  <c r="S5" i="7"/>
  <c r="S6" i="7"/>
  <c r="S7" i="7"/>
  <c r="S8" i="7"/>
  <c r="S9" i="7"/>
  <c r="S10"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4" i="7"/>
  <c r="G53" i="7"/>
  <c r="F53" i="7"/>
  <c r="F30" i="9"/>
  <c r="L30" i="9"/>
  <c r="L41" i="9" s="1"/>
  <c r="K30" i="9"/>
  <c r="K41" i="9" s="1"/>
  <c r="P30" i="9"/>
  <c r="X51" i="7"/>
  <c r="W51" i="7"/>
  <c r="V51" i="7"/>
  <c r="H32" i="9" l="1"/>
  <c r="H33" i="9" s="1"/>
  <c r="H34" i="9" s="1"/>
  <c r="H35" i="9" s="1"/>
  <c r="R54" i="7"/>
  <c r="P31" i="9"/>
  <c r="N32" i="9"/>
  <c r="R53" i="7"/>
  <c r="R52" i="7"/>
  <c r="F52" i="7"/>
  <c r="G52" i="7"/>
  <c r="F51" i="7"/>
  <c r="G51" i="7"/>
  <c r="N51" i="7"/>
  <c r="Q51" i="7" s="1"/>
  <c r="O51" i="7"/>
  <c r="K51" i="7"/>
  <c r="L51" i="7"/>
  <c r="H36" i="9" l="1"/>
  <c r="H37" i="9" s="1"/>
  <c r="P32" i="9"/>
  <c r="N33" i="9"/>
  <c r="R51" i="7"/>
  <c r="H38" i="9" l="1"/>
  <c r="H39" i="9" s="1"/>
  <c r="H40" i="9" s="1"/>
  <c r="H42" i="9" s="1"/>
  <c r="P33" i="9"/>
  <c r="N34" i="9"/>
  <c r="O47" i="8"/>
  <c r="N45" i="8"/>
  <c r="M45" i="8"/>
  <c r="L45" i="8"/>
  <c r="K45" i="8"/>
  <c r="J45" i="8"/>
  <c r="I45" i="8"/>
  <c r="H45" i="8"/>
  <c r="G45" i="8"/>
  <c r="F45" i="8"/>
  <c r="F48" i="8" s="1"/>
  <c r="F50" i="4" s="1"/>
  <c r="E8" i="5" s="1"/>
  <c r="E45" i="8"/>
  <c r="D45" i="8"/>
  <c r="C45" i="8"/>
  <c r="J48" i="8"/>
  <c r="J50" i="4" s="1"/>
  <c r="E12" i="5" s="1"/>
  <c r="O42" i="8"/>
  <c r="N41" i="8"/>
  <c r="O38" i="8"/>
  <c r="O35" i="8"/>
  <c r="O34" i="8"/>
  <c r="O33" i="8"/>
  <c r="O32" i="8"/>
  <c r="O31" i="8"/>
  <c r="O30" i="8"/>
  <c r="O29" i="8"/>
  <c r="O24" i="8"/>
  <c r="O23" i="8"/>
  <c r="O20" i="8"/>
  <c r="O18" i="8"/>
  <c r="O16" i="8"/>
  <c r="H14" i="8"/>
  <c r="O7" i="8"/>
  <c r="O6" i="8"/>
  <c r="N8" i="8"/>
  <c r="N8" i="4" s="1"/>
  <c r="M8" i="8"/>
  <c r="M8" i="4" s="1"/>
  <c r="C15" i="5" s="1"/>
  <c r="L8" i="8"/>
  <c r="L8" i="4" s="1"/>
  <c r="C14" i="5" s="1"/>
  <c r="K8" i="8"/>
  <c r="K8" i="4" s="1"/>
  <c r="C13" i="5" s="1"/>
  <c r="J8" i="8"/>
  <c r="J8" i="4" s="1"/>
  <c r="C12" i="5" s="1"/>
  <c r="I8" i="8"/>
  <c r="I8" i="4" s="1"/>
  <c r="C11" i="5" s="1"/>
  <c r="H8" i="8"/>
  <c r="H8" i="4" s="1"/>
  <c r="C10" i="5" s="1"/>
  <c r="F8" i="8"/>
  <c r="F8" i="4" s="1"/>
  <c r="C8" i="5" s="1"/>
  <c r="D8" i="8"/>
  <c r="D8" i="4" s="1"/>
  <c r="C6" i="5" s="1"/>
  <c r="C8" i="8"/>
  <c r="C8" i="4" s="1"/>
  <c r="H43" i="9" l="1"/>
  <c r="H44" i="9" s="1"/>
  <c r="H45" i="9" s="1"/>
  <c r="H46" i="9" s="1"/>
  <c r="O43" i="8"/>
  <c r="Q44" i="4" s="1"/>
  <c r="S44" i="4" s="1"/>
  <c r="K48" i="8"/>
  <c r="K50" i="4" s="1"/>
  <c r="E13" i="5" s="1"/>
  <c r="D48" i="8"/>
  <c r="D50" i="4" s="1"/>
  <c r="E6" i="5" s="1"/>
  <c r="L48" i="8"/>
  <c r="L50" i="4" s="1"/>
  <c r="E14" i="5" s="1"/>
  <c r="M48" i="8"/>
  <c r="M50" i="4" s="1"/>
  <c r="E15" i="5" s="1"/>
  <c r="Q48" i="4"/>
  <c r="S48" i="4" s="1"/>
  <c r="T48" i="4" s="1"/>
  <c r="O17" i="8"/>
  <c r="O25" i="8"/>
  <c r="Q35" i="4"/>
  <c r="S35" i="4" s="1"/>
  <c r="E48" i="8"/>
  <c r="Q25" i="4"/>
  <c r="S25" i="4" s="1"/>
  <c r="T25" i="4" s="1"/>
  <c r="Q29" i="4"/>
  <c r="S29" i="4" s="1"/>
  <c r="Q38" i="4"/>
  <c r="S38" i="4" s="1"/>
  <c r="E8" i="8"/>
  <c r="E8" i="4" s="1"/>
  <c r="C7" i="5" s="1"/>
  <c r="Q20" i="4"/>
  <c r="Q30" i="4"/>
  <c r="S30" i="4" s="1"/>
  <c r="Q39" i="4"/>
  <c r="S39" i="4" s="1"/>
  <c r="G48" i="8"/>
  <c r="G50" i="4" s="1"/>
  <c r="E9" i="5" s="1"/>
  <c r="C48" i="8"/>
  <c r="C50" i="4" s="1"/>
  <c r="E5" i="5" s="1"/>
  <c r="S17" i="4"/>
  <c r="T17" i="4" s="1"/>
  <c r="Q19" i="4"/>
  <c r="S19" i="4" s="1"/>
  <c r="Q13" i="4"/>
  <c r="Q21" i="4"/>
  <c r="S21" i="4" s="1"/>
  <c r="Q31" i="4"/>
  <c r="S31" i="4" s="1"/>
  <c r="Q41" i="4"/>
  <c r="S41" i="4" s="1"/>
  <c r="Q27" i="4"/>
  <c r="S27" i="4" s="1"/>
  <c r="Q36" i="4"/>
  <c r="S36" i="4" s="1"/>
  <c r="O5" i="8"/>
  <c r="Q5" i="4"/>
  <c r="S5" i="4" s="1"/>
  <c r="H48" i="8"/>
  <c r="H50" i="4" s="1"/>
  <c r="E10" i="5" s="1"/>
  <c r="Q22" i="4"/>
  <c r="S22" i="4" s="1"/>
  <c r="Q32" i="4"/>
  <c r="S32" i="4" s="1"/>
  <c r="O41" i="8"/>
  <c r="I48" i="8"/>
  <c r="I50" i="4" s="1"/>
  <c r="E11" i="5" s="1"/>
  <c r="Q6" i="4"/>
  <c r="S6" i="4" s="1"/>
  <c r="O14" i="8"/>
  <c r="Q24" i="4"/>
  <c r="S24" i="4" s="1"/>
  <c r="T24" i="4" s="1"/>
  <c r="Q33" i="4"/>
  <c r="S33" i="4" s="1"/>
  <c r="Q43" i="4"/>
  <c r="S43" i="4" s="1"/>
  <c r="Q34" i="4"/>
  <c r="S34" i="4" s="1"/>
  <c r="N35" i="9"/>
  <c r="P34" i="9"/>
  <c r="N48" i="8"/>
  <c r="G8" i="8"/>
  <c r="G8" i="4" s="1"/>
  <c r="C9" i="5" s="1"/>
  <c r="O45" i="8"/>
  <c r="O49" i="8" l="1"/>
  <c r="H47" i="9"/>
  <c r="S20" i="4"/>
  <c r="T20" i="4" s="1"/>
  <c r="O8" i="8"/>
  <c r="O48" i="8"/>
  <c r="N50" i="4"/>
  <c r="Q46" i="4"/>
  <c r="S46" i="4" s="1"/>
  <c r="Q26" i="4"/>
  <c r="S26" i="4" s="1"/>
  <c r="S15" i="4"/>
  <c r="Q4" i="4"/>
  <c r="S18" i="4"/>
  <c r="T18" i="4" s="1"/>
  <c r="S13" i="4"/>
  <c r="E50" i="4"/>
  <c r="E7" i="5" s="1"/>
  <c r="Q42" i="4"/>
  <c r="S42" i="4" s="1"/>
  <c r="N36" i="9"/>
  <c r="P35" i="9"/>
  <c r="F29" i="9"/>
  <c r="F41" i="9" s="1"/>
  <c r="P29" i="9"/>
  <c r="J29" i="9"/>
  <c r="J41" i="9" s="1"/>
  <c r="H48" i="9" l="1"/>
  <c r="S4" i="4"/>
  <c r="S7" i="4" s="1"/>
  <c r="S49" i="4" s="1"/>
  <c r="Q49" i="4"/>
  <c r="P36" i="9"/>
  <c r="N37" i="9"/>
  <c r="J27" i="9"/>
  <c r="F50" i="7"/>
  <c r="G50" i="7"/>
  <c r="O50" i="7"/>
  <c r="N50" i="7"/>
  <c r="Q50" i="7" s="1"/>
  <c r="K50" i="7"/>
  <c r="L50" i="7"/>
  <c r="F25" i="9"/>
  <c r="P24" i="9"/>
  <c r="P25" i="9"/>
  <c r="P26" i="9"/>
  <c r="P27" i="9"/>
  <c r="K49" i="7"/>
  <c r="L49" i="7"/>
  <c r="N49" i="7"/>
  <c r="Q49" i="7" s="1"/>
  <c r="F49" i="7"/>
  <c r="G49" i="7"/>
  <c r="O49" i="7"/>
  <c r="H49" i="9" l="1"/>
  <c r="N38" i="9"/>
  <c r="P37" i="9"/>
  <c r="F16" i="5"/>
  <c r="R49" i="7"/>
  <c r="R50" i="7"/>
  <c r="H50" i="9" l="1"/>
  <c r="P38" i="9"/>
  <c r="N39" i="9"/>
  <c r="K48" i="7"/>
  <c r="L48" i="7"/>
  <c r="O48" i="7"/>
  <c r="N48" i="7"/>
  <c r="Q48" i="7" s="1"/>
  <c r="F48" i="7"/>
  <c r="G48" i="7"/>
  <c r="H51" i="9" l="1"/>
  <c r="N40" i="9"/>
  <c r="P39" i="9"/>
  <c r="R48" i="7"/>
  <c r="H52" i="9" l="1"/>
  <c r="P40" i="9"/>
  <c r="N42" i="9"/>
  <c r="L14" i="9"/>
  <c r="L15" i="9" s="1"/>
  <c r="F14" i="9"/>
  <c r="F13" i="9"/>
  <c r="G13" i="9"/>
  <c r="F12" i="9"/>
  <c r="M11" i="9"/>
  <c r="F11" i="9"/>
  <c r="G11" i="9"/>
  <c r="F10" i="9"/>
  <c r="G10" i="9"/>
  <c r="F9" i="9"/>
  <c r="M8" i="9"/>
  <c r="F8" i="9"/>
  <c r="G8" i="9"/>
  <c r="M7" i="9"/>
  <c r="C7" i="9"/>
  <c r="F7" i="9"/>
  <c r="G7" i="9"/>
  <c r="F6" i="9"/>
  <c r="F4" i="9"/>
  <c r="F5" i="9"/>
  <c r="M4" i="9"/>
  <c r="G4" i="9"/>
  <c r="M3" i="9"/>
  <c r="F3" i="9"/>
  <c r="F23" i="9"/>
  <c r="M23" i="9"/>
  <c r="M22" i="9"/>
  <c r="C22" i="9"/>
  <c r="C28" i="9" s="1"/>
  <c r="F22" i="9"/>
  <c r="G22" i="9"/>
  <c r="M21" i="9"/>
  <c r="L21" i="9"/>
  <c r="L28" i="9" s="1"/>
  <c r="F21" i="9"/>
  <c r="G21" i="9"/>
  <c r="F20" i="9"/>
  <c r="M20" i="9"/>
  <c r="F19" i="9"/>
  <c r="M19" i="9"/>
  <c r="J18" i="9"/>
  <c r="M18" i="9"/>
  <c r="F18" i="9"/>
  <c r="G18" i="9"/>
  <c r="J17" i="9"/>
  <c r="M17" i="9"/>
  <c r="J16" i="9"/>
  <c r="K16" i="9"/>
  <c r="K28" i="9" s="1"/>
  <c r="F17" i="9"/>
  <c r="M16" i="9"/>
  <c r="G16" i="9"/>
  <c r="F16" i="9"/>
  <c r="F46" i="7"/>
  <c r="G46" i="7"/>
  <c r="F47" i="7"/>
  <c r="G47" i="7"/>
  <c r="K46" i="7"/>
  <c r="L46" i="7"/>
  <c r="N46" i="7"/>
  <c r="Q46" i="7" s="1"/>
  <c r="O46" i="7"/>
  <c r="K47" i="7"/>
  <c r="L47" i="7"/>
  <c r="N47" i="7"/>
  <c r="Q47" i="7" s="1"/>
  <c r="O47" i="7"/>
  <c r="K45" i="7"/>
  <c r="L45" i="7"/>
  <c r="O45" i="7"/>
  <c r="N45" i="7"/>
  <c r="Q45" i="7" s="1"/>
  <c r="F45" i="7"/>
  <c r="G45" i="7"/>
  <c r="T22" i="4"/>
  <c r="G28" i="9" l="1"/>
  <c r="J28" i="9"/>
  <c r="F28" i="9"/>
  <c r="M28" i="9"/>
  <c r="N3" i="9"/>
  <c r="N4" i="9" s="1"/>
  <c r="N5" i="9" s="1"/>
  <c r="N6" i="9" s="1"/>
  <c r="N7" i="9" s="1"/>
  <c r="N8" i="9" s="1"/>
  <c r="N9" i="9" s="1"/>
  <c r="N10" i="9" s="1"/>
  <c r="N11" i="9" s="1"/>
  <c r="N12" i="9" s="1"/>
  <c r="N13" i="9" s="1"/>
  <c r="N14" i="9" s="1"/>
  <c r="N16" i="9" s="1"/>
  <c r="M15" i="9"/>
  <c r="H3" i="9"/>
  <c r="H4" i="9" s="1"/>
  <c r="F15" i="9"/>
  <c r="C15" i="9"/>
  <c r="G15" i="9"/>
  <c r="N43" i="9"/>
  <c r="P42" i="9"/>
  <c r="R46" i="7"/>
  <c r="R47" i="7"/>
  <c r="R45" i="7"/>
  <c r="P3" i="9" l="1"/>
  <c r="N17" i="9"/>
  <c r="N18" i="9" s="1"/>
  <c r="N19" i="9" s="1"/>
  <c r="N20" i="9" s="1"/>
  <c r="N21" i="9" s="1"/>
  <c r="N22" i="9" s="1"/>
  <c r="N23" i="9" s="1"/>
  <c r="N44" i="9"/>
  <c r="P43" i="9"/>
  <c r="H5" i="9"/>
  <c r="P4" i="9"/>
  <c r="T27" i="4"/>
  <c r="F44" i="7"/>
  <c r="G44" i="7"/>
  <c r="N44" i="7"/>
  <c r="Q44" i="7" s="1"/>
  <c r="O44" i="7"/>
  <c r="K44" i="7"/>
  <c r="L44" i="7"/>
  <c r="F43" i="7"/>
  <c r="G43" i="7"/>
  <c r="N43" i="7"/>
  <c r="Q43" i="7" s="1"/>
  <c r="O43" i="7"/>
  <c r="K43" i="7"/>
  <c r="L43" i="7"/>
  <c r="N45" i="9" l="1"/>
  <c r="P44" i="9"/>
  <c r="R43" i="7"/>
  <c r="R44" i="7"/>
  <c r="H6" i="9"/>
  <c r="P5" i="9"/>
  <c r="P45" i="9" l="1"/>
  <c r="N46" i="9"/>
  <c r="P6" i="9"/>
  <c r="H7" i="9"/>
  <c r="K42" i="7"/>
  <c r="L42" i="7"/>
  <c r="O42" i="7"/>
  <c r="N42" i="7"/>
  <c r="Q42" i="7" s="1"/>
  <c r="F42" i="7"/>
  <c r="G42" i="7"/>
  <c r="N47" i="9" l="1"/>
  <c r="P46" i="9"/>
  <c r="R42" i="7"/>
  <c r="H8" i="9"/>
  <c r="P7" i="9"/>
  <c r="C5" i="5"/>
  <c r="N48" i="9" l="1"/>
  <c r="P47" i="9"/>
  <c r="H9" i="9"/>
  <c r="P8" i="9"/>
  <c r="D54" i="4"/>
  <c r="E54" i="4"/>
  <c r="F54" i="4"/>
  <c r="G54" i="4"/>
  <c r="H54" i="4"/>
  <c r="I54" i="4"/>
  <c r="J54" i="4"/>
  <c r="K54" i="4"/>
  <c r="L54" i="4"/>
  <c r="N54" i="4"/>
  <c r="C54" i="4"/>
  <c r="N49" i="9" l="1"/>
  <c r="P48" i="9"/>
  <c r="H10" i="9"/>
  <c r="P9" i="9"/>
  <c r="M54" i="4"/>
  <c r="N50" i="9" l="1"/>
  <c r="P49" i="9"/>
  <c r="H11" i="9"/>
  <c r="P10" i="9"/>
  <c r="N51" i="9" l="1"/>
  <c r="N52" i="9" s="1"/>
  <c r="P50" i="9"/>
  <c r="H12" i="9"/>
  <c r="P11" i="9"/>
  <c r="Q7" i="4"/>
  <c r="K41" i="7"/>
  <c r="K40" i="7"/>
  <c r="K39" i="7"/>
  <c r="N41" i="7"/>
  <c r="Q41" i="7" s="1"/>
  <c r="O41" i="7"/>
  <c r="F41" i="7"/>
  <c r="G41" i="7"/>
  <c r="L41" i="7"/>
  <c r="F39" i="7"/>
  <c r="G39" i="7"/>
  <c r="L39" i="7"/>
  <c r="N39" i="7"/>
  <c r="Q39" i="7" s="1"/>
  <c r="O39" i="7"/>
  <c r="F40" i="7"/>
  <c r="G40" i="7"/>
  <c r="L40" i="7"/>
  <c r="N40" i="7"/>
  <c r="Q40" i="7" s="1"/>
  <c r="O40" i="7"/>
  <c r="O38" i="7"/>
  <c r="N38" i="7"/>
  <c r="Q38" i="7" s="1"/>
  <c r="L38" i="7"/>
  <c r="K38" i="7"/>
  <c r="G38" i="7"/>
  <c r="F38" i="7"/>
  <c r="O37" i="7"/>
  <c r="N37" i="7"/>
  <c r="Q37" i="7" s="1"/>
  <c r="L37" i="7"/>
  <c r="K37" i="7"/>
  <c r="G37" i="7"/>
  <c r="F37" i="7"/>
  <c r="O36" i="7"/>
  <c r="N36" i="7"/>
  <c r="Q36" i="7" s="1"/>
  <c r="L36" i="7"/>
  <c r="K36" i="7"/>
  <c r="G36" i="7"/>
  <c r="F36" i="7"/>
  <c r="O35" i="7"/>
  <c r="N35" i="7"/>
  <c r="Q35" i="7" s="1"/>
  <c r="L35" i="7"/>
  <c r="K35" i="7"/>
  <c r="G35" i="7"/>
  <c r="F35" i="7"/>
  <c r="O34" i="7"/>
  <c r="N34" i="7"/>
  <c r="Q34" i="7" s="1"/>
  <c r="L34" i="7"/>
  <c r="K34" i="7"/>
  <c r="G34" i="7"/>
  <c r="F34" i="7"/>
  <c r="O33" i="7"/>
  <c r="N33" i="7"/>
  <c r="Q33" i="7" s="1"/>
  <c r="L33" i="7"/>
  <c r="K33" i="7"/>
  <c r="G33" i="7"/>
  <c r="F33" i="7"/>
  <c r="O32" i="7"/>
  <c r="N32" i="7"/>
  <c r="Q32" i="7" s="1"/>
  <c r="L32" i="7"/>
  <c r="K32" i="7"/>
  <c r="G32" i="7"/>
  <c r="F32" i="7"/>
  <c r="O31" i="7"/>
  <c r="N31" i="7"/>
  <c r="Q31" i="7" s="1"/>
  <c r="L31" i="7"/>
  <c r="K31" i="7"/>
  <c r="G31" i="7"/>
  <c r="F31" i="7"/>
  <c r="O30" i="7"/>
  <c r="N30" i="7"/>
  <c r="Q30" i="7" s="1"/>
  <c r="L30" i="7"/>
  <c r="K30" i="7"/>
  <c r="G30" i="7"/>
  <c r="F30" i="7"/>
  <c r="O29" i="7"/>
  <c r="N29" i="7"/>
  <c r="Q29" i="7" s="1"/>
  <c r="L29" i="7"/>
  <c r="K29" i="7"/>
  <c r="G29" i="7"/>
  <c r="F29" i="7"/>
  <c r="O28" i="7"/>
  <c r="N28" i="7"/>
  <c r="Q28" i="7" s="1"/>
  <c r="L28" i="7"/>
  <c r="K28" i="7"/>
  <c r="G28" i="7"/>
  <c r="F28" i="7"/>
  <c r="O27" i="7"/>
  <c r="N27" i="7"/>
  <c r="Q27" i="7" s="1"/>
  <c r="L27" i="7"/>
  <c r="K27" i="7"/>
  <c r="G27" i="7"/>
  <c r="F27" i="7"/>
  <c r="O26" i="7"/>
  <c r="N26" i="7"/>
  <c r="Q26" i="7" s="1"/>
  <c r="L26" i="7"/>
  <c r="K26" i="7"/>
  <c r="G26" i="7"/>
  <c r="F26" i="7"/>
  <c r="O25" i="7"/>
  <c r="N25" i="7"/>
  <c r="Q25" i="7" s="1"/>
  <c r="L25" i="7"/>
  <c r="K25" i="7"/>
  <c r="G25" i="7"/>
  <c r="F25" i="7"/>
  <c r="O24" i="7"/>
  <c r="N24" i="7"/>
  <c r="Q24" i="7" s="1"/>
  <c r="L24" i="7"/>
  <c r="K24" i="7"/>
  <c r="G24" i="7"/>
  <c r="F24" i="7"/>
  <c r="O23" i="7"/>
  <c r="N23" i="7"/>
  <c r="Q23" i="7" s="1"/>
  <c r="L23" i="7"/>
  <c r="K23" i="7"/>
  <c r="G23" i="7"/>
  <c r="F23" i="7"/>
  <c r="O22" i="7"/>
  <c r="N22" i="7"/>
  <c r="Q22" i="7" s="1"/>
  <c r="L22" i="7"/>
  <c r="K22" i="7"/>
  <c r="G22" i="7"/>
  <c r="F22" i="7"/>
  <c r="O21" i="7"/>
  <c r="N21" i="7"/>
  <c r="Q21" i="7" s="1"/>
  <c r="L21" i="7"/>
  <c r="K21" i="7"/>
  <c r="G21" i="7"/>
  <c r="F21" i="7"/>
  <c r="O20" i="7"/>
  <c r="N20" i="7"/>
  <c r="Q20" i="7" s="1"/>
  <c r="L20" i="7"/>
  <c r="K20" i="7"/>
  <c r="G20" i="7"/>
  <c r="F20" i="7"/>
  <c r="O19" i="7"/>
  <c r="N19" i="7"/>
  <c r="Q19" i="7" s="1"/>
  <c r="L19" i="7"/>
  <c r="K19" i="7"/>
  <c r="G19" i="7"/>
  <c r="F19" i="7"/>
  <c r="O18" i="7"/>
  <c r="N18" i="7"/>
  <c r="Q18" i="7" s="1"/>
  <c r="L18" i="7"/>
  <c r="K18" i="7"/>
  <c r="G18" i="7"/>
  <c r="F18" i="7"/>
  <c r="O17" i="7"/>
  <c r="N17" i="7"/>
  <c r="Q17" i="7" s="1"/>
  <c r="L17" i="7"/>
  <c r="K17" i="7"/>
  <c r="G17" i="7"/>
  <c r="F17" i="7"/>
  <c r="O16" i="7"/>
  <c r="N16" i="7"/>
  <c r="Q16" i="7" s="1"/>
  <c r="L16" i="7"/>
  <c r="K16" i="7"/>
  <c r="G16" i="7"/>
  <c r="F16" i="7"/>
  <c r="O15" i="7"/>
  <c r="N15" i="7"/>
  <c r="Q15" i="7" s="1"/>
  <c r="L15" i="7"/>
  <c r="K15" i="7"/>
  <c r="G15" i="7"/>
  <c r="F15" i="7"/>
  <c r="O14" i="7"/>
  <c r="N14" i="7"/>
  <c r="Q14" i="7" s="1"/>
  <c r="L14" i="7"/>
  <c r="K14" i="7"/>
  <c r="G14" i="7"/>
  <c r="F14" i="7"/>
  <c r="O13" i="7"/>
  <c r="N13" i="7"/>
  <c r="Q13" i="7" s="1"/>
  <c r="L13" i="7"/>
  <c r="K13" i="7"/>
  <c r="G13" i="7"/>
  <c r="F13" i="7"/>
  <c r="O12" i="7"/>
  <c r="N12" i="7"/>
  <c r="Q12" i="7" s="1"/>
  <c r="L12" i="7"/>
  <c r="K12" i="7"/>
  <c r="G12" i="7"/>
  <c r="F12" i="7"/>
  <c r="O11" i="7"/>
  <c r="N11" i="7"/>
  <c r="Q11" i="7" s="1"/>
  <c r="L11" i="7"/>
  <c r="K11" i="7"/>
  <c r="G11" i="7"/>
  <c r="F11" i="7"/>
  <c r="O10" i="7"/>
  <c r="N10" i="7"/>
  <c r="Q10" i="7" s="1"/>
  <c r="L10" i="7"/>
  <c r="K10" i="7"/>
  <c r="G10" i="7"/>
  <c r="F10" i="7"/>
  <c r="O9" i="7"/>
  <c r="N9" i="7"/>
  <c r="Q9" i="7" s="1"/>
  <c r="L9" i="7"/>
  <c r="K9" i="7"/>
  <c r="G9" i="7"/>
  <c r="F9" i="7"/>
  <c r="O8" i="7"/>
  <c r="N8" i="7"/>
  <c r="Q8" i="7" s="1"/>
  <c r="L8" i="7"/>
  <c r="K8" i="7"/>
  <c r="G8" i="7"/>
  <c r="F8" i="7"/>
  <c r="O7" i="7"/>
  <c r="N7" i="7"/>
  <c r="Q7" i="7" s="1"/>
  <c r="L7" i="7"/>
  <c r="K7" i="7"/>
  <c r="G7" i="7"/>
  <c r="F7" i="7"/>
  <c r="O6" i="7"/>
  <c r="N6" i="7"/>
  <c r="Q6" i="7" s="1"/>
  <c r="L6" i="7"/>
  <c r="K6" i="7"/>
  <c r="G6" i="7"/>
  <c r="F6" i="7"/>
  <c r="O5" i="7"/>
  <c r="N5" i="7"/>
  <c r="Q5" i="7" s="1"/>
  <c r="L5" i="7"/>
  <c r="K5" i="7"/>
  <c r="G5" i="7"/>
  <c r="F5" i="7"/>
  <c r="O4" i="7"/>
  <c r="N4" i="7"/>
  <c r="Q4" i="7" s="1"/>
  <c r="L4" i="7"/>
  <c r="K4" i="7"/>
  <c r="G4" i="7"/>
  <c r="F4" i="7"/>
  <c r="P51" i="9" l="1"/>
  <c r="R11" i="7"/>
  <c r="R15" i="7"/>
  <c r="R19" i="7"/>
  <c r="R27" i="7"/>
  <c r="R23" i="7"/>
  <c r="R31" i="7"/>
  <c r="R35" i="7"/>
  <c r="R39" i="7"/>
  <c r="R41" i="7"/>
  <c r="R18" i="7"/>
  <c r="R13" i="7"/>
  <c r="R17" i="7"/>
  <c r="R21" i="7"/>
  <c r="R25" i="7"/>
  <c r="R29" i="7"/>
  <c r="R33" i="7"/>
  <c r="R37" i="7"/>
  <c r="R7" i="7"/>
  <c r="R22" i="7"/>
  <c r="R26" i="7"/>
  <c r="R30" i="7"/>
  <c r="R34" i="7"/>
  <c r="R38" i="7"/>
  <c r="R14" i="7"/>
  <c r="R40" i="7"/>
  <c r="R10" i="7"/>
  <c r="R9" i="7"/>
  <c r="R6" i="7"/>
  <c r="R5" i="7"/>
  <c r="R4" i="7"/>
  <c r="R8" i="7"/>
  <c r="R12" i="7"/>
  <c r="R16" i="7"/>
  <c r="R20" i="7"/>
  <c r="R24" i="7"/>
  <c r="R28" i="7"/>
  <c r="R32" i="7"/>
  <c r="R36" i="7"/>
  <c r="H13" i="9"/>
  <c r="P12" i="9"/>
  <c r="E17" i="5"/>
  <c r="C17" i="5"/>
  <c r="H14" i="9" l="1"/>
  <c r="P13" i="9"/>
  <c r="N7" i="4"/>
  <c r="N9" i="4" s="1"/>
  <c r="L7" i="4"/>
  <c r="S51" i="9" s="1"/>
  <c r="T51" i="9" s="1"/>
  <c r="J7" i="4"/>
  <c r="S49" i="9" s="1"/>
  <c r="T49" i="9" s="1"/>
  <c r="F7" i="4"/>
  <c r="M7" i="4"/>
  <c r="K7" i="4"/>
  <c r="I7" i="4"/>
  <c r="H7" i="4"/>
  <c r="E7" i="4"/>
  <c r="T29" i="4"/>
  <c r="T30" i="4"/>
  <c r="G7" i="4"/>
  <c r="T5" i="4"/>
  <c r="T6" i="4"/>
  <c r="N51" i="4"/>
  <c r="D12" i="5"/>
  <c r="D11" i="5"/>
  <c r="D9" i="5"/>
  <c r="D8" i="5"/>
  <c r="D7" i="5"/>
  <c r="D6" i="5"/>
  <c r="T46" i="4"/>
  <c r="T44" i="4"/>
  <c r="T43" i="4"/>
  <c r="T42" i="4"/>
  <c r="T41" i="4"/>
  <c r="T19" i="4"/>
  <c r="T39" i="4"/>
  <c r="T38" i="4"/>
  <c r="T36" i="4"/>
  <c r="T35" i="4"/>
  <c r="T34" i="4"/>
  <c r="T33" i="4"/>
  <c r="T32" i="4"/>
  <c r="T31" i="4"/>
  <c r="T26" i="4"/>
  <c r="T21" i="4"/>
  <c r="T15" i="4"/>
  <c r="T13" i="4"/>
  <c r="B15" i="5" l="1"/>
  <c r="S52" i="9"/>
  <c r="T52" i="9" s="1"/>
  <c r="B8" i="5"/>
  <c r="S45" i="9"/>
  <c r="T45" i="9" s="1"/>
  <c r="B9" i="5"/>
  <c r="S46" i="9"/>
  <c r="T46" i="9" s="1"/>
  <c r="B7" i="5"/>
  <c r="S44" i="9"/>
  <c r="T44" i="9" s="1"/>
  <c r="B10" i="5"/>
  <c r="S47" i="9"/>
  <c r="T47" i="9" s="1"/>
  <c r="B11" i="5"/>
  <c r="S48" i="9"/>
  <c r="T48" i="9" s="1"/>
  <c r="B13" i="5"/>
  <c r="S50" i="9"/>
  <c r="T50" i="9" s="1"/>
  <c r="H51" i="4"/>
  <c r="D10" i="5"/>
  <c r="F10" i="5" s="1"/>
  <c r="J9" i="4"/>
  <c r="B12" i="5"/>
  <c r="L51" i="4"/>
  <c r="D14" i="5"/>
  <c r="L9" i="4"/>
  <c r="B14" i="5"/>
  <c r="K51" i="4"/>
  <c r="D13" i="5"/>
  <c r="F13" i="5" s="1"/>
  <c r="M51" i="4"/>
  <c r="F15" i="5"/>
  <c r="I51" i="4"/>
  <c r="F11" i="5"/>
  <c r="J51" i="4"/>
  <c r="F12" i="5"/>
  <c r="H16" i="9"/>
  <c r="P14" i="9"/>
  <c r="H9" i="4"/>
  <c r="G51" i="4"/>
  <c r="G9" i="4"/>
  <c r="F8" i="5"/>
  <c r="D51" i="4"/>
  <c r="E9" i="4"/>
  <c r="F7" i="5"/>
  <c r="F51" i="4"/>
  <c r="E51" i="4"/>
  <c r="I53" i="4"/>
  <c r="I9" i="4"/>
  <c r="K53" i="4"/>
  <c r="K9" i="4"/>
  <c r="F53" i="4"/>
  <c r="F9" i="4"/>
  <c r="M53" i="4"/>
  <c r="M9" i="4"/>
  <c r="J53" i="4"/>
  <c r="L53" i="4"/>
  <c r="G53" i="4"/>
  <c r="E53" i="4"/>
  <c r="N53" i="4"/>
  <c r="H53" i="4"/>
  <c r="C7" i="4"/>
  <c r="S42" i="9" s="1"/>
  <c r="D7" i="4"/>
  <c r="S43" i="9" s="1"/>
  <c r="T43" i="9" s="1"/>
  <c r="S54" i="9" l="1"/>
  <c r="T42" i="9"/>
  <c r="T54" i="9" s="1"/>
  <c r="C9" i="4"/>
  <c r="B5" i="5"/>
  <c r="F14" i="5"/>
  <c r="B6" i="5"/>
  <c r="H17" i="9"/>
  <c r="P16" i="9"/>
  <c r="F9" i="5"/>
  <c r="D53" i="4"/>
  <c r="D9" i="4"/>
  <c r="F6" i="5" l="1"/>
  <c r="H18" i="9"/>
  <c r="P17" i="9"/>
  <c r="B17" i="5"/>
  <c r="E23" i="5" l="1"/>
  <c r="H19" i="9"/>
  <c r="P18" i="9"/>
  <c r="H20" i="9" l="1"/>
  <c r="P19" i="9"/>
  <c r="H21" i="9" l="1"/>
  <c r="P20" i="9"/>
  <c r="H22" i="9" l="1"/>
  <c r="P21" i="9"/>
  <c r="H23" i="9" l="1"/>
  <c r="P22" i="9"/>
  <c r="P23" i="9" l="1"/>
  <c r="C53" i="4"/>
  <c r="D5" i="5"/>
  <c r="D17" i="5" s="1"/>
  <c r="C51" i="4"/>
  <c r="P51" i="4" l="1"/>
  <c r="E24" i="5"/>
  <c r="E25" i="5" s="1"/>
  <c r="F5" i="5"/>
  <c r="F17" i="5" s="1"/>
  <c r="O7" i="4"/>
  <c r="P7" i="4" s="1"/>
  <c r="T7" i="4" s="1"/>
  <c r="T49" i="4" s="1"/>
  <c r="P4" i="4"/>
  <c r="T4" i="4" s="1"/>
  <c r="O9" i="4" l="1"/>
  <c r="P9" i="4"/>
  <c r="P5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Lynn</author>
  </authors>
  <commentList>
    <comment ref="D13" authorId="0" shapeId="0" xr:uid="{E91DEBCE-AEB7-4712-AB25-9B6D61A988BD}">
      <text>
        <r>
          <rPr>
            <b/>
            <sz val="9"/>
            <color indexed="81"/>
            <rFont val="Tahoma"/>
            <family val="2"/>
          </rPr>
          <t>Lynn:</t>
        </r>
        <r>
          <rPr>
            <sz val="9"/>
            <color indexed="81"/>
            <rFont val="Tahoma"/>
            <family val="2"/>
          </rPr>
          <t xml:space="preserve">
October Invoice</t>
        </r>
      </text>
    </comment>
    <comment ref="E13" authorId="0" shapeId="0" xr:uid="{80D382AC-9679-4B15-ABD1-89F228C72667}">
      <text>
        <r>
          <rPr>
            <b/>
            <sz val="9"/>
            <color indexed="81"/>
            <rFont val="Tahoma"/>
            <family val="2"/>
          </rPr>
          <t>Lynn:</t>
        </r>
        <r>
          <rPr>
            <sz val="9"/>
            <color indexed="81"/>
            <rFont val="Tahoma"/>
            <family val="2"/>
          </rPr>
          <t xml:space="preserve">
December Invoice</t>
        </r>
      </text>
    </comment>
    <comment ref="F13" authorId="0" shapeId="0" xr:uid="{37819C67-305C-4DBC-AA3D-740EF73DB1D5}">
      <text>
        <r>
          <rPr>
            <b/>
            <sz val="9"/>
            <color indexed="81"/>
            <rFont val="Tahoma"/>
            <family val="2"/>
          </rPr>
          <t>Lynn:</t>
        </r>
        <r>
          <rPr>
            <sz val="9"/>
            <color indexed="81"/>
            <rFont val="Tahoma"/>
            <family val="2"/>
          </rPr>
          <t xml:space="preserve">
November Invoice - $763.75
January Invoice -    $552.50</t>
        </r>
      </text>
    </comment>
    <comment ref="G15" authorId="0" shapeId="0" xr:uid="{9A9EEAB8-54B6-4B7F-9804-E12DC95FF505}">
      <text>
        <r>
          <rPr>
            <b/>
            <sz val="9"/>
            <color indexed="81"/>
            <rFont val="Tahoma"/>
            <family val="2"/>
          </rPr>
          <t>Lynn:</t>
        </r>
        <r>
          <rPr>
            <sz val="9"/>
            <color indexed="81"/>
            <rFont val="Tahoma"/>
            <family val="2"/>
          </rPr>
          <t xml:space="preserve">
Oregon Business Registry
</t>
        </r>
      </text>
    </comment>
    <comment ref="E16" authorId="0" shapeId="0" xr:uid="{05368762-DDEE-4FDD-9E35-0FA70C7ED47F}">
      <text>
        <r>
          <rPr>
            <b/>
            <sz val="9"/>
            <color indexed="81"/>
            <rFont val="Tahoma"/>
            <family val="2"/>
          </rPr>
          <t>Lynn:</t>
        </r>
        <r>
          <rPr>
            <sz val="9"/>
            <color indexed="81"/>
            <rFont val="Tahoma"/>
            <family val="2"/>
          </rPr>
          <t xml:space="preserve">
Oregon Health Authority</t>
        </r>
      </text>
    </comment>
    <comment ref="F18" authorId="0" shapeId="0" xr:uid="{E3CE8AE0-8274-432E-A39A-8AC86F8749A7}">
      <text>
        <r>
          <rPr>
            <b/>
            <sz val="9"/>
            <color indexed="81"/>
            <rFont val="Tahoma"/>
            <family val="2"/>
          </rPr>
          <t>Lynn:</t>
        </r>
        <r>
          <rPr>
            <sz val="9"/>
            <color indexed="81"/>
            <rFont val="Tahoma"/>
            <family val="2"/>
          </rPr>
          <t xml:space="preserve">
Annual meeting notices and proxies
</t>
        </r>
      </text>
    </comment>
    <comment ref="C21" authorId="0" shapeId="0" xr:uid="{2C39EDB2-6CC6-458E-9586-D5E36858CB64}">
      <text>
        <r>
          <rPr>
            <b/>
            <sz val="9"/>
            <color indexed="81"/>
            <rFont val="Tahoma"/>
            <family val="2"/>
          </rPr>
          <t>Lynn:</t>
        </r>
        <r>
          <rPr>
            <sz val="9"/>
            <color indexed="81"/>
            <rFont val="Tahoma"/>
            <family val="2"/>
          </rPr>
          <t xml:space="preserve">
Annual renewal
</t>
        </r>
      </text>
    </comment>
    <comment ref="I22" authorId="0" shapeId="0" xr:uid="{5D6C02FF-014A-45D7-9575-DFAEEB823B8A}">
      <text>
        <r>
          <rPr>
            <b/>
            <sz val="9"/>
            <color indexed="81"/>
            <rFont val="Tahoma"/>
            <family val="2"/>
          </rPr>
          <t>Lynn:</t>
        </r>
        <r>
          <rPr>
            <sz val="9"/>
            <color indexed="81"/>
            <rFont val="Tahoma"/>
            <family val="2"/>
          </rPr>
          <t xml:space="preserve">
Automobile reimbursement to John Carnathan</t>
        </r>
      </text>
    </comment>
    <comment ref="C32" authorId="0" shapeId="0" xr:uid="{D5DCEF70-8EED-497C-8F03-F018E2632C9D}">
      <text>
        <r>
          <rPr>
            <b/>
            <sz val="9"/>
            <color indexed="81"/>
            <rFont val="Tahoma"/>
            <family val="2"/>
          </rPr>
          <t>Lynn:</t>
        </r>
        <r>
          <rPr>
            <sz val="9"/>
            <color indexed="81"/>
            <rFont val="Tahoma"/>
            <family val="2"/>
          </rPr>
          <t xml:space="preserve">
Cascade Columbia</t>
        </r>
      </text>
    </comment>
    <comment ref="D32" authorId="0" shapeId="0" xr:uid="{30A9F490-2D17-417C-BAAB-993474C120B6}">
      <text>
        <r>
          <rPr>
            <b/>
            <sz val="9"/>
            <color indexed="81"/>
            <rFont val="Tahoma"/>
            <family val="2"/>
          </rPr>
          <t>Lynn:</t>
        </r>
        <r>
          <rPr>
            <sz val="9"/>
            <color indexed="81"/>
            <rFont val="Tahoma"/>
            <family val="2"/>
          </rPr>
          <t xml:space="preserve">
Cascade Columbia</t>
        </r>
      </text>
    </comment>
    <comment ref="E32" authorId="0" shapeId="0" xr:uid="{17E72DB7-10F1-4633-AAC6-A149A0B39B04}">
      <text>
        <r>
          <rPr>
            <b/>
            <sz val="9"/>
            <color indexed="81"/>
            <rFont val="Tahoma"/>
            <family val="2"/>
          </rPr>
          <t>Lynn:</t>
        </r>
        <r>
          <rPr>
            <sz val="9"/>
            <color indexed="81"/>
            <rFont val="Tahoma"/>
            <family val="2"/>
          </rPr>
          <t xml:space="preserve">
Cascade Columbia</t>
        </r>
      </text>
    </comment>
    <comment ref="F32" authorId="0" shapeId="0" xr:uid="{9C4CB88D-D83D-49CD-8D14-1BBF608567AD}">
      <text>
        <r>
          <rPr>
            <b/>
            <sz val="9"/>
            <color indexed="81"/>
            <rFont val="Tahoma"/>
            <family val="2"/>
          </rPr>
          <t>Lynn:</t>
        </r>
        <r>
          <rPr>
            <sz val="9"/>
            <color indexed="81"/>
            <rFont val="Tahoma"/>
            <family val="2"/>
          </rPr>
          <t xml:space="preserve">
Cascade Columbia</t>
        </r>
      </text>
    </comment>
    <comment ref="G32" authorId="0" shapeId="0" xr:uid="{464A54FA-0506-4035-9E1C-3D21B0E111E7}">
      <text>
        <r>
          <rPr>
            <b/>
            <sz val="9"/>
            <color indexed="81"/>
            <rFont val="Tahoma"/>
            <family val="2"/>
          </rPr>
          <t>Lynn:</t>
        </r>
        <r>
          <rPr>
            <sz val="9"/>
            <color indexed="81"/>
            <rFont val="Tahoma"/>
            <family val="2"/>
          </rPr>
          <t xml:space="preserve">
Cascade Columbia.
No invoice, used bank statement</t>
        </r>
      </text>
    </comment>
    <comment ref="H32" authorId="0" shapeId="0" xr:uid="{C27261C8-7F8B-4CF6-A8E8-0CF9634D02C4}">
      <text>
        <r>
          <rPr>
            <b/>
            <sz val="9"/>
            <color indexed="81"/>
            <rFont val="Tahoma"/>
            <family val="2"/>
          </rPr>
          <t>Lynn:</t>
        </r>
        <r>
          <rPr>
            <sz val="9"/>
            <color indexed="81"/>
            <rFont val="Tahoma"/>
            <family val="2"/>
          </rPr>
          <t xml:space="preserve">
Steve Houseworth $250.00 for street sign</t>
        </r>
      </text>
    </comment>
    <comment ref="J32" authorId="0" shapeId="0" xr:uid="{D5CCEEF9-693F-4395-8AAE-319D0623B171}">
      <text>
        <r>
          <rPr>
            <b/>
            <sz val="9"/>
            <color indexed="81"/>
            <rFont val="Tahoma"/>
            <family val="2"/>
          </rPr>
          <t>Lynn:</t>
        </r>
        <r>
          <rPr>
            <sz val="9"/>
            <color indexed="81"/>
            <rFont val="Tahoma"/>
            <family val="2"/>
          </rPr>
          <t xml:space="preserve">
Cascade Columbia</t>
        </r>
      </text>
    </comment>
    <comment ref="K32" authorId="0" shapeId="0" xr:uid="{090EE240-0E52-4591-A5E8-2594594E3918}">
      <text>
        <r>
          <rPr>
            <b/>
            <sz val="9"/>
            <color indexed="81"/>
            <rFont val="Tahoma"/>
            <family val="2"/>
          </rPr>
          <t>Lynn:</t>
        </r>
        <r>
          <rPr>
            <sz val="9"/>
            <color indexed="81"/>
            <rFont val="Tahoma"/>
            <family val="2"/>
          </rPr>
          <t xml:space="preserve">
Cascade Columbia $306.25
Furrow Pump $47.41</t>
        </r>
      </text>
    </comment>
    <comment ref="L32" authorId="0" shapeId="0" xr:uid="{0E8BB3FF-E8B4-4C05-B0D2-35A76DDBB6A8}">
      <text>
        <r>
          <rPr>
            <b/>
            <sz val="9"/>
            <color indexed="81"/>
            <rFont val="Tahoma"/>
            <family val="2"/>
          </rPr>
          <t>Lynn:</t>
        </r>
        <r>
          <rPr>
            <sz val="9"/>
            <color indexed="81"/>
            <rFont val="Tahoma"/>
            <family val="2"/>
          </rPr>
          <t xml:space="preserve">
Cascade Columbia</t>
        </r>
      </text>
    </comment>
    <comment ref="M32" authorId="0" shapeId="0" xr:uid="{21621BFB-02A5-4331-A638-C3049484D12C}">
      <text>
        <r>
          <rPr>
            <b/>
            <sz val="9"/>
            <color indexed="81"/>
            <rFont val="Tahoma"/>
            <family val="2"/>
          </rPr>
          <t>Lynn:</t>
        </r>
        <r>
          <rPr>
            <sz val="9"/>
            <color indexed="81"/>
            <rFont val="Tahoma"/>
            <family val="2"/>
          </rPr>
          <t xml:space="preserve">
Cascade Columbia</t>
        </r>
      </text>
    </comment>
    <comment ref="F33" authorId="0" shapeId="0" xr:uid="{0BFACA0C-7601-4E44-822E-89A9B3B3A40E}">
      <text>
        <r>
          <rPr>
            <b/>
            <sz val="9"/>
            <color indexed="81"/>
            <rFont val="Tahoma"/>
            <family val="2"/>
          </rPr>
          <t>Lynn:</t>
        </r>
        <r>
          <rPr>
            <sz val="9"/>
            <color indexed="81"/>
            <rFont val="Tahoma"/>
            <family val="2"/>
          </rPr>
          <t xml:space="preserve">
NW Earthmovers - water line break</t>
        </r>
      </text>
    </comment>
    <comment ref="J33" authorId="0" shapeId="0" xr:uid="{BB781F35-7B5C-4278-BF28-86C75B6D999C}">
      <text>
        <r>
          <rPr>
            <b/>
            <sz val="9"/>
            <color indexed="81"/>
            <rFont val="Tahoma"/>
            <family val="2"/>
          </rPr>
          <t>Lynn:</t>
        </r>
        <r>
          <rPr>
            <sz val="9"/>
            <color indexed="81"/>
            <rFont val="Tahoma"/>
            <family val="2"/>
          </rPr>
          <t xml:space="preserve">
Home Depot $164.55
Brian Chandler $800.00 pump house/reservoir repairs/cleanup</t>
        </r>
      </text>
    </comment>
    <comment ref="K33" authorId="0" shapeId="0" xr:uid="{1DA58979-070E-46C5-8977-211B19C16BCC}">
      <text>
        <r>
          <rPr>
            <b/>
            <sz val="9"/>
            <color indexed="81"/>
            <rFont val="Tahoma"/>
            <family val="2"/>
          </rPr>
          <t>Lynn:</t>
        </r>
        <r>
          <rPr>
            <sz val="9"/>
            <color indexed="81"/>
            <rFont val="Tahoma"/>
            <family val="2"/>
          </rPr>
          <t xml:space="preserve">
John Carnathan reservopit/pump house repairs &amp; cleanup</t>
        </r>
      </text>
    </comment>
    <comment ref="J36" authorId="0" shapeId="0" xr:uid="{CC2572FA-5C2D-4B46-9CE4-0A25D1BC2BF1}">
      <text>
        <r>
          <rPr>
            <b/>
            <sz val="9"/>
            <color indexed="81"/>
            <rFont val="Tahoma"/>
            <family val="2"/>
          </rPr>
          <t>Lynn:</t>
        </r>
        <r>
          <rPr>
            <sz val="9"/>
            <color indexed="81"/>
            <rFont val="Tahoma"/>
            <family val="2"/>
          </rPr>
          <t xml:space="preserve">
Dump fees for reservoir cleanup</t>
        </r>
      </text>
    </comment>
    <comment ref="C41" authorId="0" shapeId="0" xr:uid="{3FCC66FB-D412-4AE4-933C-FA990B7ECF33}">
      <text>
        <r>
          <rPr>
            <b/>
            <sz val="9"/>
            <color indexed="81"/>
            <rFont val="Tahoma"/>
            <family val="2"/>
          </rPr>
          <t>Lynn:</t>
        </r>
        <r>
          <rPr>
            <sz val="9"/>
            <color indexed="81"/>
            <rFont val="Tahoma"/>
            <family val="2"/>
          </rPr>
          <t xml:space="preserve">
What is additional $8 for
</t>
        </r>
      </text>
    </comment>
    <comment ref="J46" authorId="0" shapeId="0" xr:uid="{3E364D78-C27C-4798-BDD1-90294655A9EA}">
      <text>
        <r>
          <rPr>
            <b/>
            <sz val="9"/>
            <color indexed="81"/>
            <rFont val="Tahoma"/>
            <family val="2"/>
          </rPr>
          <t>Lynn:</t>
        </r>
        <r>
          <rPr>
            <sz val="9"/>
            <color indexed="81"/>
            <rFont val="Tahoma"/>
            <family val="2"/>
          </rPr>
          <t xml:space="preserve">
$85.54 dump fees were erroneously included under utilities, moved to cell J34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Lynn</author>
  </authors>
  <commentList>
    <comment ref="A52" authorId="0" shapeId="0" xr:uid="{5483454A-CF21-455E-B28C-0D3C831C3F6C}">
      <text>
        <r>
          <rPr>
            <b/>
            <sz val="9"/>
            <color indexed="81"/>
            <rFont val="Tahoma"/>
            <family val="2"/>
          </rPr>
          <t>Lynn:</t>
        </r>
        <r>
          <rPr>
            <sz val="9"/>
            <color indexed="81"/>
            <rFont val="Tahoma"/>
            <family val="2"/>
          </rPr>
          <t xml:space="preserve">
Actual dates:
For 461 = 10/04/23-11/02/23 
For 465 = 10/04/23-11/06/23</t>
        </r>
      </text>
    </comment>
    <comment ref="A53" authorId="0" shapeId="0" xr:uid="{404AA1DD-E8C3-49A4-AA5D-098429896ADC}">
      <text>
        <r>
          <rPr>
            <b/>
            <sz val="9"/>
            <color indexed="81"/>
            <rFont val="Tahoma"/>
            <family val="2"/>
          </rPr>
          <t>Lynn:</t>
        </r>
        <r>
          <rPr>
            <sz val="9"/>
            <color indexed="81"/>
            <rFont val="Tahoma"/>
            <family val="2"/>
          </rPr>
          <t xml:space="preserve">
Actual dates:
For 461 = 11/02/23-12/05/23 
For 465 = 11/06/23-12/05/23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Lynn</author>
  </authors>
  <commentList>
    <comment ref="G12" authorId="0" shapeId="0" xr:uid="{50BA5B14-55E7-438D-BA80-93DEA6C95519}">
      <text>
        <r>
          <rPr>
            <b/>
            <sz val="9"/>
            <color indexed="81"/>
            <rFont val="Tahoma"/>
            <family val="2"/>
          </rPr>
          <t>Lynn:</t>
        </r>
        <r>
          <rPr>
            <sz val="9"/>
            <color indexed="81"/>
            <rFont val="Tahoma"/>
            <family val="2"/>
          </rPr>
          <t xml:space="preserve">
Tax documents preparations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Lynn</author>
  </authors>
  <commentList>
    <comment ref="L3" authorId="0" shapeId="0" xr:uid="{8DDF5938-BA9A-4D6E-95E3-203CF72AFDF2}">
      <text>
        <r>
          <rPr>
            <b/>
            <sz val="9"/>
            <color indexed="81"/>
            <rFont val="Tahoma"/>
            <family val="2"/>
          </rPr>
          <t>Lynn:</t>
        </r>
        <r>
          <rPr>
            <sz val="9"/>
            <color indexed="81"/>
            <rFont val="Tahoma"/>
            <family val="2"/>
          </rPr>
          <t xml:space="preserve">
Transfer from Bank of America</t>
        </r>
      </text>
    </comment>
    <comment ref="C7" authorId="0" shapeId="0" xr:uid="{EB051C08-65A9-4661-9057-4B4865B91E59}">
      <text>
        <r>
          <rPr>
            <b/>
            <sz val="9"/>
            <color indexed="81"/>
            <rFont val="Tahoma"/>
            <family val="2"/>
          </rPr>
          <t>Lynn:</t>
        </r>
        <r>
          <rPr>
            <sz val="9"/>
            <color indexed="81"/>
            <rFont val="Tahoma"/>
            <family val="2"/>
          </rPr>
          <t xml:space="preserve">
Quickbooks verification
</t>
        </r>
      </text>
    </comment>
    <comment ref="L7" authorId="0" shapeId="0" xr:uid="{9359D496-53B9-42B5-A1B8-E9D71458E721}">
      <text>
        <r>
          <rPr>
            <b/>
            <sz val="9"/>
            <color indexed="81"/>
            <rFont val="Tahoma"/>
            <family val="2"/>
          </rPr>
          <t>Lynn:</t>
        </r>
        <r>
          <rPr>
            <sz val="9"/>
            <color indexed="81"/>
            <rFont val="Tahoma"/>
            <family val="2"/>
          </rPr>
          <t xml:space="preserve">
Transfer from Bank of America</t>
        </r>
      </text>
    </comment>
    <comment ref="C17" authorId="0" shapeId="0" xr:uid="{E9C83DDA-97DD-40AA-BBC7-52D1743B4118}">
      <text>
        <r>
          <rPr>
            <b/>
            <sz val="9"/>
            <color indexed="81"/>
            <rFont val="Tahoma"/>
            <family val="2"/>
          </rPr>
          <t>Lynn:</t>
        </r>
        <r>
          <rPr>
            <sz val="9"/>
            <color indexed="81"/>
            <rFont val="Tahoma"/>
            <family val="2"/>
          </rPr>
          <t xml:space="preserve">
Refund</t>
        </r>
      </text>
    </comment>
    <comment ref="C21" authorId="0" shapeId="0" xr:uid="{A791F54F-687C-4F94-A62D-51463C31DB04}">
      <text>
        <r>
          <rPr>
            <b/>
            <sz val="9"/>
            <color indexed="81"/>
            <rFont val="Tahoma"/>
            <family val="2"/>
          </rPr>
          <t>Lynn:</t>
        </r>
        <r>
          <rPr>
            <sz val="9"/>
            <color indexed="81"/>
            <rFont val="Tahoma"/>
            <family val="2"/>
          </rPr>
          <t xml:space="preserve">
One Call refund</t>
        </r>
      </text>
    </comment>
    <comment ref="L21" authorId="0" shapeId="0" xr:uid="{9FFA17D2-4346-4539-9029-4C6857D39782}">
      <text>
        <r>
          <rPr>
            <b/>
            <sz val="9"/>
            <color indexed="81"/>
            <rFont val="Tahoma"/>
            <family val="2"/>
          </rPr>
          <t>Lynn:</t>
        </r>
        <r>
          <rPr>
            <sz val="9"/>
            <color indexed="81"/>
            <rFont val="Tahoma"/>
            <family val="2"/>
          </rPr>
          <t xml:space="preserve">
$150 STRONK stop payment and $15 bank fee </t>
        </r>
      </text>
    </comment>
    <comment ref="C22" authorId="0" shapeId="0" xr:uid="{FC315CD9-3858-47BC-988B-2D4931DD62AC}">
      <text>
        <r>
          <rPr>
            <b/>
            <sz val="9"/>
            <color indexed="81"/>
            <rFont val="Tahoma"/>
            <family val="2"/>
          </rPr>
          <t>Lynn:</t>
        </r>
        <r>
          <rPr>
            <sz val="9"/>
            <color indexed="81"/>
            <rFont val="Tahoma"/>
            <family val="2"/>
          </rPr>
          <t xml:space="preserve">
Water income</t>
        </r>
      </text>
    </comment>
    <comment ref="A30" authorId="0" shapeId="0" xr:uid="{FDFC6FAA-D0B5-4CB1-B197-EE32E091D2F8}">
      <text>
        <r>
          <rPr>
            <b/>
            <sz val="9"/>
            <color indexed="81"/>
            <rFont val="Tahoma"/>
            <family val="2"/>
          </rPr>
          <t>Lynn:</t>
        </r>
        <r>
          <rPr>
            <sz val="9"/>
            <color indexed="81"/>
            <rFont val="Tahoma"/>
            <family val="2"/>
          </rPr>
          <t xml:space="preserve">
Closed old account and opened new one due to fraud attempts</t>
        </r>
      </text>
    </comment>
    <comment ref="L30" authorId="0" shapeId="0" xr:uid="{711ACC95-88F6-4645-BF70-23BE4BFC022D}">
      <text>
        <r>
          <rPr>
            <b/>
            <sz val="9"/>
            <color indexed="81"/>
            <rFont val="Tahoma"/>
            <family val="2"/>
          </rPr>
          <t>Lynn:</t>
        </r>
        <r>
          <rPr>
            <sz val="9"/>
            <color indexed="81"/>
            <rFont val="Tahoma"/>
            <family val="2"/>
          </rPr>
          <t xml:space="preserve">
Returned check $168.00
Fee $15.00
</t>
        </r>
      </text>
    </comment>
    <comment ref="C31" authorId="0" shapeId="0" xr:uid="{6DA8A75F-CF16-409A-BEE4-E4DE12ED3BAB}">
      <text>
        <r>
          <rPr>
            <b/>
            <sz val="9"/>
            <color indexed="81"/>
            <rFont val="Tahoma"/>
            <family val="2"/>
          </rPr>
          <t>Lynn:</t>
        </r>
        <r>
          <rPr>
            <sz val="9"/>
            <color indexed="81"/>
            <rFont val="Tahoma"/>
            <family val="2"/>
          </rPr>
          <t xml:space="preserve">
Payment refund</t>
        </r>
      </text>
    </comment>
    <comment ref="L34" authorId="0" shapeId="0" xr:uid="{5B447987-D767-4300-8D85-00C4F2249BC1}">
      <text>
        <r>
          <rPr>
            <b/>
            <sz val="9"/>
            <color indexed="81"/>
            <rFont val="Tahoma"/>
            <family val="2"/>
          </rPr>
          <t>Lynn:</t>
        </r>
        <r>
          <rPr>
            <sz val="9"/>
            <color indexed="81"/>
            <rFont val="Tahoma"/>
            <family val="2"/>
          </rPr>
          <t xml:space="preserve">
Returned checks and fees, 
M. Brownell,
because bank was overpaying us</t>
        </r>
      </text>
    </comment>
    <comment ref="C36" authorId="0" shapeId="0" xr:uid="{128DB666-F1A2-4521-84CE-5ABD505EE824}">
      <text>
        <r>
          <rPr>
            <b/>
            <sz val="9"/>
            <color indexed="81"/>
            <rFont val="Tahoma"/>
            <family val="2"/>
          </rPr>
          <t>Lynn:</t>
        </r>
        <r>
          <rPr>
            <sz val="9"/>
            <color indexed="81"/>
            <rFont val="Tahoma"/>
            <family val="2"/>
          </rPr>
          <t xml:space="preserve">
Payment refund</t>
        </r>
      </text>
    </comment>
    <comment ref="F39" authorId="0" shapeId="0" xr:uid="{26D7C170-50F7-4688-8BD9-2E879C419675}">
      <text>
        <r>
          <rPr>
            <b/>
            <sz val="9"/>
            <color indexed="81"/>
            <rFont val="Tahoma"/>
            <family val="2"/>
          </rPr>
          <t>Lynn:</t>
        </r>
        <r>
          <rPr>
            <sz val="9"/>
            <color indexed="81"/>
            <rFont val="Tahoma"/>
            <family val="2"/>
          </rPr>
          <t xml:space="preserve">
New pump house pump $13,860.02
</t>
        </r>
      </text>
    </comment>
    <comment ref="L40" authorId="0" shapeId="0" xr:uid="{ED834385-349A-4F48-9FF7-C863F0F89781}">
      <text>
        <r>
          <rPr>
            <b/>
            <sz val="9"/>
            <color indexed="81"/>
            <rFont val="Tahoma"/>
            <family val="2"/>
          </rPr>
          <t>Lynn:</t>
        </r>
        <r>
          <rPr>
            <sz val="9"/>
            <color indexed="81"/>
            <rFont val="Tahoma"/>
            <family val="2"/>
          </rPr>
          <t xml:space="preserve">
Stop payment via Bank as check amount was incorrect</t>
        </r>
      </text>
    </comment>
    <comment ref="C53" authorId="0" shapeId="0" xr:uid="{34726BC6-BCE3-45AE-8123-9A7DCD38FB9A}">
      <text>
        <r>
          <rPr>
            <b/>
            <sz val="9"/>
            <color indexed="81"/>
            <rFont val="Tahoma"/>
            <family val="2"/>
          </rPr>
          <t>Lynn:</t>
        </r>
        <r>
          <rPr>
            <sz val="9"/>
            <color indexed="81"/>
            <rFont val="Tahoma"/>
            <family val="2"/>
          </rPr>
          <t xml:space="preserve">
Cancelled check</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Lynn</author>
  </authors>
  <commentList>
    <comment ref="C4" authorId="0" shapeId="0" xr:uid="{EBE8C137-074B-429E-B98F-DFE2A463B94F}">
      <text>
        <r>
          <rPr>
            <b/>
            <sz val="9"/>
            <color indexed="81"/>
            <rFont val="Tahoma"/>
            <family val="2"/>
          </rPr>
          <t>Lynn:</t>
        </r>
        <r>
          <rPr>
            <sz val="9"/>
            <color indexed="81"/>
            <rFont val="Tahoma"/>
            <family val="2"/>
          </rPr>
          <t xml:space="preserve">
Includes $210.00 for "refunds received"</t>
        </r>
      </text>
    </comment>
    <comment ref="C11" authorId="0" shapeId="0" xr:uid="{842958B0-8CD9-4324-9739-8D0C81F31BBC}">
      <text>
        <r>
          <rPr>
            <b/>
            <sz val="9"/>
            <color indexed="81"/>
            <rFont val="Tahoma"/>
            <family val="2"/>
          </rPr>
          <t>Lynn:</t>
        </r>
        <r>
          <rPr>
            <sz val="9"/>
            <color indexed="81"/>
            <rFont val="Tahoma"/>
            <family val="2"/>
          </rPr>
          <t xml:space="preserve">
$50.64 for "Quickbooks Services
$7,100 for "Accoumting Services</t>
        </r>
      </text>
    </comment>
    <comment ref="D11" authorId="0" shapeId="0" xr:uid="{02E8629A-9620-4976-A35B-69EABB5901A0}">
      <text>
        <r>
          <rPr>
            <b/>
            <sz val="9"/>
            <color indexed="81"/>
            <rFont val="Tahoma"/>
            <family val="2"/>
          </rPr>
          <t>Lynn:</t>
        </r>
        <r>
          <rPr>
            <sz val="9"/>
            <color indexed="81"/>
            <rFont val="Tahoma"/>
            <family val="2"/>
          </rPr>
          <t xml:space="preserve">
$59.97 for "Quickbooks Services"
$6,611.51 for "Accounting Fees"</t>
        </r>
      </text>
    </comment>
    <comment ref="C20" authorId="0" shapeId="0" xr:uid="{C1FFAC4F-261A-4034-BBB8-6784509B2E69}">
      <text>
        <r>
          <rPr>
            <b/>
            <sz val="9"/>
            <color indexed="81"/>
            <rFont val="Tahoma"/>
            <family val="2"/>
          </rPr>
          <t>Lynn:</t>
        </r>
        <r>
          <rPr>
            <sz val="9"/>
            <color indexed="81"/>
            <rFont val="Tahoma"/>
            <family val="2"/>
          </rPr>
          <t xml:space="preserve">
$13.00 for "Monthly Bank Fees"
</t>
        </r>
      </text>
    </comment>
    <comment ref="D20" authorId="0" shapeId="0" xr:uid="{76DD559B-3CC1-4463-8C0C-345D6F9D5CD3}">
      <text>
        <r>
          <rPr>
            <b/>
            <sz val="9"/>
            <color indexed="81"/>
            <rFont val="Tahoma"/>
            <family val="2"/>
          </rPr>
          <t>Lynn:</t>
        </r>
        <r>
          <rPr>
            <sz val="9"/>
            <color indexed="81"/>
            <rFont val="Tahoma"/>
            <family val="2"/>
          </rPr>
          <t xml:space="preserve">
$26.96 for "Monthly Bank Fees"
</t>
        </r>
      </text>
    </comment>
    <comment ref="E20" authorId="0" shapeId="0" xr:uid="{36932AF8-69B5-4CFB-9F01-67EA5AF5246B}">
      <text>
        <r>
          <rPr>
            <b/>
            <sz val="9"/>
            <color indexed="81"/>
            <rFont val="Tahoma"/>
            <family val="2"/>
          </rPr>
          <t>Lynn:</t>
        </r>
        <r>
          <rPr>
            <sz val="9"/>
            <color indexed="81"/>
            <rFont val="Tahoma"/>
            <family val="2"/>
          </rPr>
          <t xml:space="preserve">
$1,500 for "Gifts &amp; Contributions" for backup systems operator stipend</t>
        </r>
      </text>
    </comment>
    <comment ref="F20" authorId="0" shapeId="0" xr:uid="{69C43208-A439-48C1-B8F4-2EBA56AE15BB}">
      <text>
        <r>
          <rPr>
            <b/>
            <sz val="9"/>
            <color indexed="81"/>
            <rFont val="Tahoma"/>
            <family val="2"/>
          </rPr>
          <t>Lynn:</t>
        </r>
        <r>
          <rPr>
            <sz val="9"/>
            <color indexed="81"/>
            <rFont val="Tahoma"/>
            <family val="2"/>
          </rPr>
          <t xml:space="preserve">
$15.00 NSF fees</t>
        </r>
      </text>
    </comment>
    <comment ref="C25" authorId="0" shapeId="0" xr:uid="{21ECDA07-939C-4C9B-A3DF-21FE79468F13}">
      <text>
        <r>
          <rPr>
            <b/>
            <sz val="9"/>
            <color indexed="81"/>
            <rFont val="Tahoma"/>
            <family val="2"/>
          </rPr>
          <t>Lynn:</t>
        </r>
        <r>
          <rPr>
            <sz val="9"/>
            <color indexed="81"/>
            <rFont val="Tahoma"/>
            <family val="2"/>
          </rPr>
          <t xml:space="preserve">
For "Dues &amp; Subscriptions"</t>
        </r>
      </text>
    </comment>
    <comment ref="D25" authorId="0" shapeId="0" xr:uid="{8E651C81-2E60-406B-B1E2-33AA3BE6E667}">
      <text>
        <r>
          <rPr>
            <b/>
            <sz val="9"/>
            <color indexed="81"/>
            <rFont val="Tahoma"/>
            <family val="2"/>
          </rPr>
          <t>Lynn:</t>
        </r>
        <r>
          <rPr>
            <sz val="9"/>
            <color indexed="81"/>
            <rFont val="Tahoma"/>
            <family val="2"/>
          </rPr>
          <t xml:space="preserve">
For "Dues &amp; Subscriptions"</t>
        </r>
      </text>
    </comment>
    <comment ref="E25" authorId="0" shapeId="0" xr:uid="{A5E717AF-AB62-4E46-8CF0-1455D5562ACC}">
      <text>
        <r>
          <rPr>
            <b/>
            <sz val="9"/>
            <color indexed="81"/>
            <rFont val="Tahoma"/>
            <family val="2"/>
          </rPr>
          <t>Lynn:</t>
        </r>
        <r>
          <rPr>
            <sz val="9"/>
            <color indexed="81"/>
            <rFont val="Tahoma"/>
            <family val="2"/>
          </rPr>
          <t xml:space="preserve">
For "Dues &amp; Subscriptions"</t>
        </r>
      </text>
    </comment>
    <comment ref="E31" authorId="0" shapeId="0" xr:uid="{C32C3E6A-79E2-4D5C-A911-54C4B07550A4}">
      <text>
        <r>
          <rPr>
            <b/>
            <sz val="9"/>
            <color indexed="81"/>
            <rFont val="Tahoma"/>
            <family val="2"/>
          </rPr>
          <t>Lynn:</t>
        </r>
        <r>
          <rPr>
            <sz val="9"/>
            <color indexed="81"/>
            <rFont val="Tahoma"/>
            <family val="2"/>
          </rPr>
          <t xml:space="preserve">
$6,612.15 for "Vendor Services"
$585.00 for "Equioment Rental &amp; Maintenance"</t>
        </r>
      </text>
    </comment>
    <comment ref="C34" authorId="0" shapeId="0" xr:uid="{B159FAFD-20AD-404A-B158-2264C52766A4}">
      <text>
        <r>
          <rPr>
            <b/>
            <sz val="9"/>
            <color indexed="81"/>
            <rFont val="Tahoma"/>
            <family val="2"/>
          </rPr>
          <t>Lynn:</t>
        </r>
        <r>
          <rPr>
            <sz val="9"/>
            <color indexed="81"/>
            <rFont val="Tahoma"/>
            <family val="2"/>
          </rPr>
          <t xml:space="preserve">
For "Repairs &amp; Maintenance - other"</t>
        </r>
      </text>
    </comment>
    <comment ref="G34" authorId="0" shapeId="0" xr:uid="{CD62619C-8CED-4219-994E-C01D6B13DE8B}">
      <text>
        <r>
          <rPr>
            <b/>
            <sz val="9"/>
            <color indexed="81"/>
            <rFont val="Tahoma"/>
            <family val="2"/>
          </rPr>
          <t>Lynn:</t>
        </r>
        <r>
          <rPr>
            <sz val="9"/>
            <color indexed="81"/>
            <rFont val="Tahoma"/>
            <family val="2"/>
          </rPr>
          <t xml:space="preserve">
$2,000 stipend for volunteer Systems Opearator
$15 for SDAO breakfast meeting
</t>
        </r>
      </text>
    </comment>
  </commentList>
</comments>
</file>

<file path=xl/sharedStrings.xml><?xml version="1.0" encoding="utf-8"?>
<sst xmlns="http://schemas.openxmlformats.org/spreadsheetml/2006/main" count="522" uniqueCount="309">
  <si>
    <t>Business Expenses</t>
  </si>
  <si>
    <t>Other</t>
  </si>
  <si>
    <t>Equipment &amp; System Maintenance</t>
  </si>
  <si>
    <t>Supplies</t>
  </si>
  <si>
    <t>Utilities</t>
  </si>
  <si>
    <t>Insurance</t>
  </si>
  <si>
    <t>Taxes</t>
  </si>
  <si>
    <t>Wages</t>
  </si>
  <si>
    <t>EXPENSES</t>
  </si>
  <si>
    <t>TOTAL</t>
  </si>
  <si>
    <t>Accounting</t>
  </si>
  <si>
    <t>Worker's Compensation</t>
  </si>
  <si>
    <t>SDAO Membership</t>
  </si>
  <si>
    <t>Postage</t>
  </si>
  <si>
    <t>Payroll</t>
  </si>
  <si>
    <t>Portland General Electric</t>
  </si>
  <si>
    <t>Website Renewal</t>
  </si>
  <si>
    <t>Equipment - pumps, generators, etc.</t>
  </si>
  <si>
    <t>Repairs - invoiced from vendors</t>
  </si>
  <si>
    <t>Reservoir Cleaning</t>
  </si>
  <si>
    <t>Water Testing</t>
  </si>
  <si>
    <t>Directors and Officers</t>
  </si>
  <si>
    <t>Intuit payroll fee</t>
  </si>
  <si>
    <t>Post Office Box</t>
  </si>
  <si>
    <t>Notification services - Mission Control</t>
  </si>
  <si>
    <t>TOTALS</t>
  </si>
  <si>
    <t>Dues, Memberships &amp; Subscriptions</t>
  </si>
  <si>
    <t>INCOME</t>
  </si>
  <si>
    <t>Hook up fees</t>
  </si>
  <si>
    <t>Interest</t>
  </si>
  <si>
    <t>Materials - hard goods: items mainly used for repairs such as pipes</t>
  </si>
  <si>
    <t>TOTAL INCOME</t>
  </si>
  <si>
    <t>TOTAL EXPENSES</t>
  </si>
  <si>
    <t>Supplies - finite items: filters, chlorine</t>
  </si>
  <si>
    <t>Business Registration - Sec. of State</t>
  </si>
  <si>
    <t>Income</t>
  </si>
  <si>
    <t>Expenses</t>
  </si>
  <si>
    <r>
      <t xml:space="preserve">Net        </t>
    </r>
    <r>
      <rPr>
        <sz val="10"/>
        <color theme="1"/>
        <rFont val="Calibri"/>
        <family val="2"/>
        <scheme val="minor"/>
      </rPr>
      <t>[actual income less actual expenses]</t>
    </r>
  </si>
  <si>
    <t>Actual</t>
  </si>
  <si>
    <t>Budget</t>
  </si>
  <si>
    <r>
      <t xml:space="preserve">Income: more than budgeted, </t>
    </r>
    <r>
      <rPr>
        <sz val="10"/>
        <color rgb="FFFF0000"/>
        <rFont val="Bahnschrift Light"/>
        <family val="2"/>
      </rPr>
      <t>(less)</t>
    </r>
    <r>
      <rPr>
        <sz val="10"/>
        <color theme="1"/>
        <rFont val="Bahnschrift Light"/>
        <family val="2"/>
      </rPr>
      <t xml:space="preserve"> then budgeted</t>
    </r>
  </si>
  <si>
    <t>AGING</t>
  </si>
  <si>
    <t>1-30</t>
  </si>
  <si>
    <t>61-90</t>
  </si>
  <si>
    <t># of Households Past Due</t>
  </si>
  <si>
    <t>Billing months</t>
  </si>
  <si>
    <t>PGE BILLS REVIEW</t>
  </si>
  <si>
    <t>Date Range</t>
  </si>
  <si>
    <t>PGE Billing  Month</t>
  </si>
  <si>
    <t>kWh</t>
  </si>
  <si>
    <t># of Days</t>
  </si>
  <si>
    <t>Bill Amount</t>
  </si>
  <si>
    <t>Cost per day</t>
  </si>
  <si>
    <t>≈ Cost per kWh</t>
  </si>
  <si>
    <t>TOTAL kWh</t>
  </si>
  <si>
    <t>TOTAL BILLS AMOUNT</t>
  </si>
  <si>
    <t>10/04/19-11/05/19</t>
  </si>
  <si>
    <t>11/05/19-12/06/19</t>
  </si>
  <si>
    <t>12/06/19-01/08/20</t>
  </si>
  <si>
    <t>01/08/20-02/06/20</t>
  </si>
  <si>
    <t>02/06/20-03/06/20</t>
  </si>
  <si>
    <t>03/06/20-04/07/20</t>
  </si>
  <si>
    <t>04/07/20-05/06/20</t>
  </si>
  <si>
    <t>05/06/20-06/05/20</t>
  </si>
  <si>
    <t>06/05/20-07/07/20</t>
  </si>
  <si>
    <t>07/07/20-08/05/20</t>
  </si>
  <si>
    <t>08/05/20-09/04/20</t>
  </si>
  <si>
    <t>09/04/20-10/06/20</t>
  </si>
  <si>
    <t>10/06/20-11/04/20</t>
  </si>
  <si>
    <t>11/04/20-12/07/20</t>
  </si>
  <si>
    <t>12/07/20-01/07/21</t>
  </si>
  <si>
    <t>01/07/21-02/08/21</t>
  </si>
  <si>
    <t>02/08/21-03/09/21</t>
  </si>
  <si>
    <t>03/09/21-04/07/21</t>
  </si>
  <si>
    <t>04/07/21-05/06/21</t>
  </si>
  <si>
    <t>05/06/21-06/07/21</t>
  </si>
  <si>
    <t>06/07/21-07/07/21</t>
  </si>
  <si>
    <t>07/07/21-08/05/21</t>
  </si>
  <si>
    <t>08/05/21-09/03/21</t>
  </si>
  <si>
    <t>09/03/21-10/05/21</t>
  </si>
  <si>
    <t>10/05/21-11/03/21</t>
  </si>
  <si>
    <t>11/03/21-12/06/21</t>
  </si>
  <si>
    <t>12/06/21-01/06/22</t>
  </si>
  <si>
    <t>01/06/22-02/07/22</t>
  </si>
  <si>
    <t>02/07/22-03/08/22</t>
  </si>
  <si>
    <t>03/08/22-04/06/22</t>
  </si>
  <si>
    <t>04/06/22-05/05/22</t>
  </si>
  <si>
    <t>05/05/22-06/06/22</t>
  </si>
  <si>
    <t>06/06/22-07/06/22</t>
  </si>
  <si>
    <t>07/06/22-08/04/22</t>
  </si>
  <si>
    <t>08/04/22-09/02/22</t>
  </si>
  <si>
    <t>02-12-2021 ice storm, operating off generators</t>
  </si>
  <si>
    <t>Very high temperatures [≥ 90º]</t>
  </si>
  <si>
    <t>11/02/22-12/05/22</t>
  </si>
  <si>
    <t>10/04/22-11/02/22</t>
  </si>
  <si>
    <t>09/02/22-10/04/22</t>
  </si>
  <si>
    <t>Net</t>
  </si>
  <si>
    <t>Budgeted net</t>
  </si>
  <si>
    <t>Budgeted income</t>
  </si>
  <si>
    <t>Actual vs. Budget</t>
  </si>
  <si>
    <t>12/05/22-01/05/23</t>
  </si>
  <si>
    <t>Billing month</t>
  </si>
  <si>
    <t>Reimbursed expenses (mainly mileage)</t>
  </si>
  <si>
    <t>YTD Budget</t>
  </si>
  <si>
    <t>01/05/23-02/06/23</t>
  </si>
  <si>
    <t>02/06/23-03/07/23</t>
  </si>
  <si>
    <t>Budgeted expenses by month</t>
  </si>
  <si>
    <t>Actual vs. Budget by month</t>
  </si>
  <si>
    <t>465 Hebb Park #9253 [Well Field]</t>
  </si>
  <si>
    <t>461 Hebb Park #0000 [Pump House]</t>
  </si>
  <si>
    <t>05/04/23-06/05/23</t>
  </si>
  <si>
    <t>03/07/23-04/05/23</t>
  </si>
  <si>
    <t>04/05/23-05/04/23</t>
  </si>
  <si>
    <t>May</t>
  </si>
  <si>
    <t># of days ≥ 90º</t>
  </si>
  <si>
    <t>October</t>
  </si>
  <si>
    <t>November</t>
  </si>
  <si>
    <t>December</t>
  </si>
  <si>
    <t>January</t>
  </si>
  <si>
    <t>February</t>
  </si>
  <si>
    <t>March</t>
  </si>
  <si>
    <t>April</t>
  </si>
  <si>
    <t>June</t>
  </si>
  <si>
    <t>July</t>
  </si>
  <si>
    <t>August</t>
  </si>
  <si>
    <t>September</t>
  </si>
  <si>
    <t xml:space="preserve"> </t>
  </si>
  <si>
    <t>2022-10</t>
  </si>
  <si>
    <t>2022-11</t>
  </si>
  <si>
    <t>Balance</t>
  </si>
  <si>
    <t>Transfers</t>
  </si>
  <si>
    <t>Water Income</t>
  </si>
  <si>
    <t>Interest Income</t>
  </si>
  <si>
    <t>2022-12</t>
  </si>
  <si>
    <t>FY23</t>
  </si>
  <si>
    <t>2023-02</t>
  </si>
  <si>
    <t>2023-01</t>
  </si>
  <si>
    <t>2023-03</t>
  </si>
  <si>
    <t>2023-04</t>
  </si>
  <si>
    <t>2023-05</t>
  </si>
  <si>
    <t>2023-06</t>
  </si>
  <si>
    <t>2023-07</t>
  </si>
  <si>
    <t>2023-08</t>
  </si>
  <si>
    <t>2023-09</t>
  </si>
  <si>
    <t>Fiscal Year</t>
  </si>
  <si>
    <t>Statement Date</t>
  </si>
  <si>
    <t>Debits</t>
  </si>
  <si>
    <t>FY22</t>
  </si>
  <si>
    <t>2022-01</t>
  </si>
  <si>
    <t>2022-02</t>
  </si>
  <si>
    <t>2022-03</t>
  </si>
  <si>
    <t>2022-04</t>
  </si>
  <si>
    <t>2022-05</t>
  </si>
  <si>
    <t>2022-06</t>
  </si>
  <si>
    <t>2022-07</t>
  </si>
  <si>
    <t>2022-08</t>
  </si>
  <si>
    <t>2022-09</t>
  </si>
  <si>
    <t>2021-12</t>
  </si>
  <si>
    <t>2021-11</t>
  </si>
  <si>
    <t>2021-10</t>
  </si>
  <si>
    <t>Other credits / debits</t>
  </si>
  <si>
    <t>Total Bank Balances</t>
  </si>
  <si>
    <t>06/05/23-07/05/23</t>
  </si>
  <si>
    <t>07/05/23-08/03/23</t>
  </si>
  <si>
    <t>`</t>
  </si>
  <si>
    <t>08/03/23-09/05/23</t>
  </si>
  <si>
    <t>Gallons Used</t>
  </si>
  <si>
    <t>Cost per gallons used</t>
  </si>
  <si>
    <t>Gallons per kWh</t>
  </si>
  <si>
    <t>new pumps installed</t>
  </si>
  <si>
    <t xml:space="preserve">31-60 </t>
  </si>
  <si>
    <t>FY24</t>
  </si>
  <si>
    <t>2023-10</t>
  </si>
  <si>
    <t>2023-11</t>
  </si>
  <si>
    <t>2023-12</t>
  </si>
  <si>
    <t>2024-01</t>
  </si>
  <si>
    <t>2024-02</t>
  </si>
  <si>
    <t>2024-03</t>
  </si>
  <si>
    <t>2024-04</t>
  </si>
  <si>
    <t>2024-05</t>
  </si>
  <si>
    <t>2024-06</t>
  </si>
  <si>
    <t>2024-07</t>
  </si>
  <si>
    <t>2024-08</t>
  </si>
  <si>
    <t>2024-09</t>
  </si>
  <si>
    <t>Tax Filings</t>
  </si>
  <si>
    <t>Cross Connection</t>
  </si>
  <si>
    <t>Industry publication/forum</t>
  </si>
  <si>
    <t>Oregon Association of Water Utilities</t>
  </si>
  <si>
    <t>Reserve Fund</t>
  </si>
  <si>
    <t>NOTES</t>
  </si>
  <si>
    <t>Difference</t>
  </si>
  <si>
    <t>09/06/23-10/04/23</t>
  </si>
  <si>
    <t>10/04/23-11/02/23</t>
  </si>
  <si>
    <t>11/02/23-12/05/23</t>
  </si>
  <si>
    <t>Average number of gallons per household</t>
  </si>
  <si>
    <t>91-120</t>
  </si>
  <si>
    <t>121-150</t>
  </si>
  <si>
    <t>&gt;150</t>
  </si>
  <si>
    <t>01/07/24-02/06/04</t>
  </si>
  <si>
    <t>12/05/23-01/07/24</t>
  </si>
  <si>
    <t>02/06/24-03/06/24</t>
  </si>
  <si>
    <t xml:space="preserve">Average High Temp </t>
  </si>
  <si>
    <t>03/06/24-04/04/24</t>
  </si>
  <si>
    <r>
      <t xml:space="preserve">Temp. Month                    </t>
    </r>
    <r>
      <rPr>
        <sz val="8"/>
        <color rgb="FFFF7C80"/>
        <rFont val="Bahnschrift Light"/>
        <family val="2"/>
      </rPr>
      <t>[bulk of our billing days fall in this month]</t>
    </r>
  </si>
  <si>
    <t>04/04/24-05/05/24</t>
  </si>
  <si>
    <t>05/05/24-06/04/24</t>
  </si>
  <si>
    <t>Liability, Directors and Officers</t>
  </si>
  <si>
    <t>06/04/24-07/04/24</t>
  </si>
  <si>
    <t>07/04/24-08/05/24</t>
  </si>
  <si>
    <t>[Oct 2024-Sep 2025]</t>
  </si>
  <si>
    <t>FY25 [Oct. 1, 2024 - Sep. 30, 2025]</t>
  </si>
  <si>
    <t>FY25 TOTAL</t>
  </si>
  <si>
    <t>Riverbend Riverbank Water District Budget for FY25 [October 1, 2024 - September 30, 2025]</t>
  </si>
  <si>
    <t>FY25</t>
  </si>
  <si>
    <t>2024-10</t>
  </si>
  <si>
    <t>2024-11</t>
  </si>
  <si>
    <t>2024-12</t>
  </si>
  <si>
    <t>2025-01</t>
  </si>
  <si>
    <t>2025-02</t>
  </si>
  <si>
    <t>2025-03</t>
  </si>
  <si>
    <t>2025-04</t>
  </si>
  <si>
    <t>2025-05</t>
  </si>
  <si>
    <t>2025-06</t>
  </si>
  <si>
    <t>2025-07</t>
  </si>
  <si>
    <t>2025-08</t>
  </si>
  <si>
    <t>2025-09</t>
  </si>
  <si>
    <t>FY20</t>
  </si>
  <si>
    <t>FY21</t>
  </si>
  <si>
    <t>Water bills</t>
  </si>
  <si>
    <t>Riverbend Rivebank Water District Financials FY25 [October 2024 - September 2025]</t>
  </si>
  <si>
    <r>
      <t>Water bills</t>
    </r>
    <r>
      <rPr>
        <b/>
        <sz val="10"/>
        <color rgb="FFFF0000"/>
        <rFont val="Arial Narrow"/>
        <family val="2"/>
      </rPr>
      <t xml:space="preserve"> </t>
    </r>
  </si>
  <si>
    <t>CPA cost; have to file electronically now</t>
  </si>
  <si>
    <t>No increase from FY24 budget</t>
  </si>
  <si>
    <t>Increase to actual expense</t>
  </si>
  <si>
    <t>Stipend for 2nd Systems Operator</t>
  </si>
  <si>
    <t>Decrease</t>
  </si>
  <si>
    <t>FY24 BUDGET</t>
  </si>
  <si>
    <t xml:space="preserve">10% increase </t>
  </si>
  <si>
    <t>10% increase from actual</t>
  </si>
  <si>
    <t>5% increase</t>
  </si>
  <si>
    <t>Postage rate increase: 4 "snail-mail" customers &amp; proxy requests w/SASE</t>
  </si>
  <si>
    <t>08/05/24-09/04/24</t>
  </si>
  <si>
    <t>FY25 OVERVIEW</t>
  </si>
  <si>
    <r>
      <t>FY25</t>
    </r>
    <r>
      <rPr>
        <b/>
        <sz val="11"/>
        <color rgb="FFFF0000"/>
        <rFont val="Arial Narrow"/>
        <family val="2"/>
      </rPr>
      <t xml:space="preserve">                                            </t>
    </r>
  </si>
  <si>
    <t>Bank Fees (for credit cards)</t>
  </si>
  <si>
    <t>New</t>
  </si>
  <si>
    <t>Bank Fees (Credit Card)</t>
  </si>
  <si>
    <t>Licenses and Permits</t>
  </si>
  <si>
    <t>Riverbend Rivebank Water District Financials FY20 - FY24</t>
  </si>
  <si>
    <t>Licenses &amp; Permits</t>
  </si>
  <si>
    <t>10/03/24-11/03/24</t>
  </si>
  <si>
    <t>11/03/24-12/04/24</t>
  </si>
  <si>
    <t>09/04/24-10/06/24</t>
  </si>
  <si>
    <t>Bill dates for October and November 2024 were not aligned.</t>
  </si>
  <si>
    <t>Bills for October, November and December 2023 were received very late.  PGE says they were "delayed" but could not tell us the reason for delay. The date ranges also no longer aligned again until December</t>
  </si>
  <si>
    <t>Actual YTD income</t>
  </si>
  <si>
    <t>Actual YTD expenses</t>
  </si>
  <si>
    <t>YTD net: income (loss)</t>
  </si>
  <si>
    <t>Intuit Debits [for charge cards]</t>
  </si>
  <si>
    <t>Intuit Credits [for charge cards]</t>
  </si>
  <si>
    <t>Bank Statement Income</t>
  </si>
  <si>
    <t>Financial Reports Income</t>
  </si>
  <si>
    <t>01/06/25-02/05/25</t>
  </si>
  <si>
    <t>Actual to Budget Favorable / (Unfavorable)</t>
  </si>
  <si>
    <t>Month</t>
  </si>
  <si>
    <t>Amount</t>
  </si>
  <si>
    <t>Fees</t>
  </si>
  <si>
    <t>Percentage</t>
  </si>
  <si>
    <t xml:space="preserve">Total Budgeted </t>
  </si>
  <si>
    <t>02/05/25-03/06/25</t>
  </si>
  <si>
    <t>03/06/25-04/04/25</t>
  </si>
  <si>
    <t>Monthly Total</t>
  </si>
  <si>
    <t>Average Monthly Fee %</t>
  </si>
  <si>
    <t>Monthly Fee</t>
  </si>
  <si>
    <t xml:space="preserve">Water bills </t>
  </si>
  <si>
    <t>Misc. Credits</t>
  </si>
  <si>
    <t>CHECKING</t>
  </si>
  <si>
    <t>SAVINGS</t>
  </si>
  <si>
    <t>FY22 Total</t>
  </si>
  <si>
    <t>FY23 Total</t>
  </si>
  <si>
    <t>FY24 Total</t>
  </si>
  <si>
    <t>FY25 Total</t>
  </si>
  <si>
    <t>FY25 Average Intuit fee</t>
  </si>
  <si>
    <t>FY24 Average Intuit Fee</t>
  </si>
  <si>
    <t>10/06/24-11/03/24</t>
  </si>
  <si>
    <t>11/03/24-12/05/24</t>
  </si>
  <si>
    <t>09/04/24-10/03/24</t>
  </si>
  <si>
    <t>12/05/24-01/08/25</t>
  </si>
  <si>
    <t>08/03/25-09/02/25</t>
  </si>
  <si>
    <t>07/02/25-08/03/25</t>
  </si>
  <si>
    <t>01/08/25-02/05/25</t>
  </si>
  <si>
    <t>02/05/25-03/04/25</t>
  </si>
  <si>
    <t>03/04/25-04/04/25</t>
  </si>
  <si>
    <t>04/04/25-05/05/25</t>
  </si>
  <si>
    <t>05/05/25-06/04/25</t>
  </si>
  <si>
    <t>06/04/25-07/02/25</t>
  </si>
  <si>
    <t>12/04/25-01/06/25</t>
  </si>
  <si>
    <t>05/07/25-06/04/25</t>
  </si>
  <si>
    <t>04/04/25-05/07/25</t>
  </si>
  <si>
    <t>N does not match V+W+X</t>
  </si>
  <si>
    <r>
      <t>Expenses:</t>
    </r>
    <r>
      <rPr>
        <sz val="10"/>
        <color rgb="FFFF0000"/>
        <rFont val="Bahnschrift Light"/>
        <family val="2"/>
      </rPr>
      <t xml:space="preserve"> more</t>
    </r>
    <r>
      <rPr>
        <sz val="10"/>
        <color theme="1"/>
        <rFont val="Bahnschrift Light"/>
        <family val="2"/>
      </rPr>
      <t xml:space="preserve"> than budgeted, (less then budgeted)</t>
    </r>
  </si>
  <si>
    <t>check number [O7+O49]</t>
  </si>
  <si>
    <t>ONPOINT EOM Bank Balances</t>
  </si>
  <si>
    <t>.</t>
  </si>
  <si>
    <t>Correcting adjustments to balance to year-end numbers</t>
  </si>
  <si>
    <t>09/02/25-10/01/25</t>
  </si>
  <si>
    <r>
      <t>Off-Peak Usage [$0.04833 per kWh],</t>
    </r>
    <r>
      <rPr>
        <sz val="12"/>
        <color rgb="FFFF0000"/>
        <rFont val="Bahnschrift Light"/>
        <family val="2"/>
      </rPr>
      <t xml:space="preserve"> effective 01-2025</t>
    </r>
  </si>
  <si>
    <r>
      <t xml:space="preserve">Mid-Peak Usage [$0.08207 per kWh], </t>
    </r>
    <r>
      <rPr>
        <sz val="12"/>
        <color rgb="FFFF0000"/>
        <rFont val="Bahnschrift Light"/>
        <family val="2"/>
      </rPr>
      <t>effective 01-2025</t>
    </r>
  </si>
  <si>
    <r>
      <t xml:space="preserve">On-Peak Usage [$0.144993 per kWh], </t>
    </r>
    <r>
      <rPr>
        <sz val="12"/>
        <color rgb="FFFF0000"/>
        <rFont val="Bahnschrift Light"/>
        <family val="2"/>
      </rPr>
      <t xml:space="preserve">01-2024 [$0.1388 </t>
    </r>
    <r>
      <rPr>
        <sz val="12"/>
        <color rgb="FFFF0000"/>
        <rFont val="Symbol"/>
        <family val="1"/>
        <charset val="2"/>
      </rPr>
      <t>­</t>
    </r>
    <r>
      <rPr>
        <sz val="10.9"/>
        <color rgb="FFFF0000"/>
        <rFont val="Bahnschrift Light"/>
        <family val="2"/>
      </rPr>
      <t>7.3%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</si>
</sst>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409]mmm\-yy;@"/>
    <numFmt numFmtId="168" formatCode="0.000%"/>
  </numFmts>
  <fonts count="64" x14ac:knownFonts="1">
    <font>
      <sz val="14"/>
      <color theme="1"/>
      <name val="Bahnschrift Light"/>
      <family val="2"/>
    </font>
    <font>
      <sz val="14"/>
      <color theme="1"/>
      <name val="Bahnschrift Light"/>
      <family val="2"/>
    </font>
    <font>
      <b/>
      <sz val="10"/>
      <color rgb="FF0070C0"/>
      <name val="Arial Narrow"/>
      <family val="2"/>
    </font>
    <font>
      <sz val="10"/>
      <color theme="1"/>
      <name val="Arial Narrow"/>
      <family val="2"/>
    </font>
    <font>
      <b/>
      <sz val="10"/>
      <color theme="1"/>
      <name val="Arial Narrow"/>
      <family val="2"/>
    </font>
    <font>
      <b/>
      <sz val="14"/>
      <color theme="1"/>
      <name val="Bahnschrift Light"/>
      <family val="2"/>
    </font>
    <font>
      <b/>
      <sz val="16"/>
      <color theme="1"/>
      <name val="Calibri"/>
      <family val="2"/>
      <scheme val="minor"/>
    </font>
    <font>
      <sz val="14"/>
      <color theme="1"/>
      <name val="Calibri"/>
      <family val="2"/>
      <scheme val="minor"/>
    </font>
    <font>
      <sz val="10"/>
      <color theme="1"/>
      <name val="Calibri"/>
      <family val="2"/>
      <scheme val="minor"/>
    </font>
    <font>
      <sz val="14"/>
      <name val="Bahnschrift Light"/>
      <family val="2"/>
    </font>
    <font>
      <b/>
      <sz val="14"/>
      <name val="Bahnschrift Light"/>
      <family val="2"/>
    </font>
    <font>
      <sz val="10"/>
      <color theme="1"/>
      <name val="Bahnschrift Light"/>
      <family val="2"/>
    </font>
    <font>
      <sz val="10"/>
      <color rgb="FFFF0000"/>
      <name val="Bahnschrift Light"/>
      <family val="2"/>
    </font>
    <font>
      <b/>
      <sz val="14"/>
      <color theme="1"/>
      <name val="Calibri"/>
      <family val="2"/>
      <scheme val="minor"/>
    </font>
    <font>
      <b/>
      <sz val="12"/>
      <color theme="1"/>
      <name val="Calibri"/>
      <family val="2"/>
      <scheme val="minor"/>
    </font>
    <font>
      <sz val="12"/>
      <color theme="1"/>
      <name val="Bahnschrift Light"/>
      <family val="2"/>
    </font>
    <font>
      <sz val="12"/>
      <name val="Bahnschrift Light"/>
      <family val="2"/>
    </font>
    <font>
      <sz val="8"/>
      <name val="Bahnschrift Light"/>
      <family val="2"/>
    </font>
    <font>
      <b/>
      <sz val="10"/>
      <color rgb="FFC00000"/>
      <name val="Arial Narrow"/>
      <family val="2"/>
    </font>
    <font>
      <sz val="10"/>
      <color rgb="FFC00000"/>
      <name val="Arial Narrow"/>
      <family val="2"/>
    </font>
    <font>
      <sz val="10"/>
      <name val="Arial Narrow"/>
      <family val="2"/>
    </font>
    <font>
      <sz val="9"/>
      <color indexed="81"/>
      <name val="Tahoma"/>
      <family val="2"/>
    </font>
    <font>
      <b/>
      <sz val="9"/>
      <color indexed="81"/>
      <name val="Tahoma"/>
      <family val="2"/>
    </font>
    <font>
      <b/>
      <sz val="12"/>
      <color theme="1"/>
      <name val="Bahnschrift Light"/>
      <family val="2"/>
    </font>
    <font>
      <sz val="12"/>
      <color rgb="FF0066FF"/>
      <name val="Bahnschrift Light"/>
      <family val="2"/>
    </font>
    <font>
      <sz val="12"/>
      <color rgb="FF996633"/>
      <name val="Bahnschrift Light"/>
      <family val="2"/>
    </font>
    <font>
      <b/>
      <sz val="10"/>
      <color rgb="FF9933FF"/>
      <name val="Bahnschrift Light"/>
      <family val="2"/>
    </font>
    <font>
      <sz val="10"/>
      <color rgb="FF9933FF"/>
      <name val="Bahnschrift Light"/>
      <family val="2"/>
    </font>
    <font>
      <sz val="12"/>
      <color rgb="FFFF0000"/>
      <name val="Bahnschrift Light"/>
      <family val="2"/>
    </font>
    <font>
      <b/>
      <sz val="11"/>
      <color theme="1"/>
      <name val="Arial Narrow"/>
      <family val="2"/>
    </font>
    <font>
      <b/>
      <sz val="10"/>
      <color rgb="FFFF0000"/>
      <name val="Arial Narrow"/>
      <family val="2"/>
    </font>
    <font>
      <sz val="12"/>
      <color rgb="FFFF0000"/>
      <name val="Symbol"/>
      <family val="1"/>
      <charset val="2"/>
    </font>
    <font>
      <sz val="10.9"/>
      <color rgb="FFFF0000"/>
      <name val="Bahnschrift Light"/>
      <family val="2"/>
    </font>
    <font>
      <b/>
      <sz val="14"/>
      <color rgb="FFFF0000"/>
      <name val="Bahnschrift Light"/>
      <family val="2"/>
    </font>
    <font>
      <sz val="9"/>
      <color theme="1"/>
      <name val="Bahnschrift Light"/>
      <family val="2"/>
    </font>
    <font>
      <sz val="11"/>
      <color theme="1"/>
      <name val="Bahnschrift Light"/>
      <family val="2"/>
    </font>
    <font>
      <sz val="8"/>
      <color theme="1"/>
      <name val="Bahnschrift Light"/>
      <family val="2"/>
    </font>
    <font>
      <sz val="10"/>
      <color rgb="FFFF7C80"/>
      <name val="Bahnschrift Light"/>
      <family val="2"/>
    </font>
    <font>
      <sz val="8"/>
      <color rgb="FFFF7C80"/>
      <name val="Bahnschrift Light"/>
      <family val="2"/>
    </font>
    <font>
      <sz val="12"/>
      <color rgb="FF9966FF"/>
      <name val="Bahnschrift Light"/>
      <family val="2"/>
    </font>
    <font>
      <b/>
      <sz val="9.5"/>
      <color theme="1"/>
      <name val="Arial Narrow"/>
      <family val="2"/>
    </font>
    <font>
      <b/>
      <sz val="11"/>
      <color rgb="FFFF0000"/>
      <name val="Arial Narrow"/>
      <family val="2"/>
    </font>
    <font>
      <b/>
      <sz val="10"/>
      <name val="Arial Narrow"/>
      <family val="2"/>
    </font>
    <font>
      <sz val="10"/>
      <name val="Bahnschrift Light"/>
      <family val="2"/>
    </font>
    <font>
      <sz val="10"/>
      <color rgb="FF0070C0"/>
      <name val="Arial Narrow"/>
      <family val="2"/>
    </font>
    <font>
      <b/>
      <sz val="9"/>
      <color theme="1"/>
      <name val="Arial Narrow"/>
      <family val="2"/>
    </font>
    <font>
      <b/>
      <sz val="14"/>
      <color rgb="FFCC00FF"/>
      <name val="Bahnschrift Light"/>
      <family val="2"/>
    </font>
    <font>
      <sz val="10"/>
      <color rgb="FFCC00FF"/>
      <name val="Bahnschrift Light"/>
      <family val="2"/>
    </font>
    <font>
      <b/>
      <sz val="12"/>
      <color rgb="FFFF0000"/>
      <name val="Bahnschrift Light"/>
      <family val="2"/>
    </font>
    <font>
      <sz val="14"/>
      <color rgb="FF00B050"/>
      <name val="Bahnschrift Light"/>
      <family val="2"/>
    </font>
    <font>
      <sz val="14"/>
      <color rgb="FF00B050"/>
      <name val="Calibri"/>
      <family val="2"/>
      <scheme val="minor"/>
    </font>
    <font>
      <sz val="14"/>
      <color rgb="FF0070C0"/>
      <name val="Calibri"/>
      <family val="2"/>
      <scheme val="minor"/>
    </font>
    <font>
      <sz val="14"/>
      <color rgb="FF0070C0"/>
      <name val="Bahnschrift Light"/>
      <family val="2"/>
    </font>
    <font>
      <b/>
      <sz val="14"/>
      <color rgb="FF0070C0"/>
      <name val="Bahnschrift Light"/>
      <family val="2"/>
    </font>
    <font>
      <sz val="14"/>
      <color rgb="FFCC00FF"/>
      <name val="Calibri"/>
      <family val="2"/>
      <scheme val="minor"/>
    </font>
    <font>
      <sz val="14"/>
      <color rgb="FFCC00FF"/>
      <name val="Bahnschrift Light"/>
      <family val="2"/>
    </font>
    <font>
      <sz val="14"/>
      <color rgb="FFFF7C80"/>
      <name val="Calibri"/>
      <family val="2"/>
      <scheme val="minor"/>
    </font>
    <font>
      <sz val="14"/>
      <color rgb="FFFF7C80"/>
      <name val="Bahnschrift Light"/>
      <family val="2"/>
    </font>
    <font>
      <b/>
      <sz val="14"/>
      <color rgb="FFFF7C80"/>
      <name val="Bahnschrift Light"/>
      <family val="2"/>
    </font>
    <font>
      <b/>
      <sz val="16"/>
      <color rgb="FF00CC00"/>
      <name val="Bahnschrift Light"/>
      <family val="2"/>
    </font>
    <font>
      <b/>
      <sz val="16"/>
      <color rgb="FFFF7C80"/>
      <name val="Bahnschrift Light"/>
      <family val="2"/>
    </font>
    <font>
      <b/>
      <sz val="12"/>
      <color rgb="FFFF0000"/>
      <name val="Arial Narrow"/>
      <family val="2"/>
    </font>
    <font>
      <sz val="12"/>
      <color rgb="FF00CC00"/>
      <name val="Bahnschrift Light"/>
      <family val="2"/>
    </font>
    <font>
      <sz val="9"/>
      <color theme="1"/>
      <name val="Arial Narrow"/>
      <family val="2"/>
    </font>
  </fonts>
  <fills count="36">
    <fill>
      <patternFill patternType="none"/>
    </fill>
    <fill>
      <patternFill patternType="gray125"/>
    </fill>
    <fill>
      <patternFill patternType="solid">
        <fgColor rgb="FFCCFFCC"/>
        <bgColor indexed="64"/>
      </patternFill>
    </fill>
    <fill>
      <patternFill patternType="solid">
        <fgColor rgb="FFE1FFE1"/>
        <bgColor indexed="64"/>
      </patternFill>
    </fill>
    <fill>
      <patternFill patternType="solid">
        <fgColor rgb="FFCCECFF"/>
        <bgColor indexed="64"/>
      </patternFill>
    </fill>
    <fill>
      <patternFill patternType="solid">
        <fgColor theme="7" tint="0.59999389629810485"/>
        <bgColor indexed="64"/>
      </patternFill>
    </fill>
    <fill>
      <patternFill patternType="solid">
        <fgColor rgb="FF0099CC"/>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CFF"/>
        <bgColor indexed="64"/>
      </patternFill>
    </fill>
    <fill>
      <patternFill patternType="solid">
        <fgColor rgb="FFCCCC00"/>
        <bgColor indexed="64"/>
      </patternFill>
    </fill>
    <fill>
      <patternFill patternType="solid">
        <fgColor rgb="FFFFFF99"/>
        <bgColor indexed="64"/>
      </patternFill>
    </fill>
    <fill>
      <patternFill patternType="solid">
        <fgColor theme="5" tint="0.59999389629810485"/>
        <bgColor indexed="64"/>
      </patternFill>
    </fill>
    <fill>
      <patternFill patternType="solid">
        <fgColor rgb="FFCCFF66"/>
        <bgColor indexed="64"/>
      </patternFill>
    </fill>
    <fill>
      <patternFill patternType="solid">
        <fgColor rgb="FF99FFCC"/>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rgb="FFCCFFFF"/>
        <bgColor indexed="64"/>
      </patternFill>
    </fill>
    <fill>
      <patternFill patternType="solid">
        <fgColor rgb="FFDBB7FF"/>
        <bgColor indexed="64"/>
      </patternFill>
    </fill>
    <fill>
      <patternFill patternType="solid">
        <fgColor theme="0" tint="-4.9989318521683403E-2"/>
        <bgColor indexed="64"/>
      </patternFill>
    </fill>
    <fill>
      <patternFill patternType="solid">
        <fgColor rgb="FFDDEBF7"/>
        <bgColor indexed="64"/>
      </patternFill>
    </fill>
    <fill>
      <patternFill patternType="solid">
        <fgColor theme="0" tint="-0.499984740745262"/>
        <bgColor indexed="64"/>
      </patternFill>
    </fill>
    <fill>
      <patternFill patternType="solid">
        <fgColor rgb="FFE2EFDA"/>
        <bgColor indexed="64"/>
      </patternFill>
    </fill>
    <fill>
      <patternFill patternType="solid">
        <fgColor rgb="FFF8CBAD"/>
        <bgColor indexed="64"/>
      </patternFill>
    </fill>
    <fill>
      <patternFill patternType="solid">
        <fgColor rgb="FFC1DBF1"/>
        <bgColor indexed="64"/>
      </patternFill>
    </fill>
    <fill>
      <patternFill patternType="solid">
        <fgColor rgb="FFD5ABFF"/>
        <bgColor indexed="64"/>
      </patternFill>
    </fill>
    <fill>
      <patternFill patternType="solid">
        <fgColor rgb="FFFFCC00"/>
        <bgColor indexed="64"/>
      </patternFill>
    </fill>
    <fill>
      <patternFill patternType="solid">
        <fgColor rgb="FFFF6600"/>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91">
    <xf numFmtId="0" fontId="0" fillId="0" borderId="0" xfId="0"/>
    <xf numFmtId="0" fontId="3" fillId="0" borderId="0" xfId="0" applyFont="1"/>
    <xf numFmtId="0" fontId="4" fillId="0" borderId="0" xfId="0" applyFont="1"/>
    <xf numFmtId="0" fontId="4"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43" fontId="3" fillId="0" borderId="0" xfId="2" applyNumberFormat="1" applyFont="1" applyFill="1"/>
    <xf numFmtId="43" fontId="4" fillId="0" borderId="0" xfId="2" applyNumberFormat="1" applyFont="1" applyFill="1"/>
    <xf numFmtId="0" fontId="4" fillId="0" borderId="1" xfId="0" applyFont="1" applyBorder="1"/>
    <xf numFmtId="43" fontId="4" fillId="0" borderId="2" xfId="2" applyNumberFormat="1" applyFont="1" applyFill="1" applyBorder="1"/>
    <xf numFmtId="43" fontId="4" fillId="0" borderId="3" xfId="2" applyNumberFormat="1" applyFont="1" applyFill="1" applyBorder="1"/>
    <xf numFmtId="44" fontId="4" fillId="0" borderId="0" xfId="2" applyFont="1" applyFill="1"/>
    <xf numFmtId="44" fontId="3" fillId="0" borderId="0" xfId="2" applyFont="1" applyFill="1"/>
    <xf numFmtId="0" fontId="3" fillId="2" borderId="0" xfId="0" applyFont="1" applyFill="1"/>
    <xf numFmtId="44" fontId="4" fillId="0" borderId="2" xfId="2" applyFont="1" applyFill="1" applyBorder="1"/>
    <xf numFmtId="43" fontId="3" fillId="0" borderId="0" xfId="2" applyNumberFormat="1" applyFont="1" applyAlignment="1">
      <alignment horizontal="right"/>
    </xf>
    <xf numFmtId="17" fontId="4" fillId="0" borderId="0" xfId="0" applyNumberFormat="1" applyFont="1" applyAlignment="1">
      <alignment horizontal="center" vertical="center"/>
    </xf>
    <xf numFmtId="0" fontId="3" fillId="0" borderId="4" xfId="0" applyFont="1" applyBorder="1"/>
    <xf numFmtId="43" fontId="3" fillId="0" borderId="4" xfId="2" applyNumberFormat="1" applyFont="1" applyFill="1" applyBorder="1"/>
    <xf numFmtId="43" fontId="4" fillId="0" borderId="4" xfId="2" applyNumberFormat="1" applyFont="1" applyFill="1" applyBorder="1"/>
    <xf numFmtId="0" fontId="3" fillId="0" borderId="5" xfId="0" applyFont="1" applyBorder="1"/>
    <xf numFmtId="43" fontId="3" fillId="0" borderId="5" xfId="2" applyNumberFormat="1" applyFont="1" applyFill="1" applyBorder="1"/>
    <xf numFmtId="43" fontId="4" fillId="0" borderId="5" xfId="2" applyNumberFormat="1" applyFont="1" applyFill="1" applyBorder="1"/>
    <xf numFmtId="44" fontId="3" fillId="0" borderId="4" xfId="2" applyFont="1" applyFill="1" applyBorder="1"/>
    <xf numFmtId="43" fontId="3" fillId="0" borderId="4" xfId="1" applyFont="1" applyFill="1" applyBorder="1"/>
    <xf numFmtId="43" fontId="3" fillId="0" borderId="5" xfId="1" applyFont="1" applyFill="1" applyBorder="1"/>
    <xf numFmtId="0" fontId="3" fillId="0" borderId="4" xfId="0" applyFont="1" applyBorder="1" applyAlignment="1">
      <alignment wrapText="1"/>
    </xf>
    <xf numFmtId="0" fontId="7" fillId="0" borderId="0" xfId="0" applyFont="1"/>
    <xf numFmtId="17" fontId="7" fillId="0" borderId="0" xfId="0" applyNumberFormat="1" applyFont="1" applyAlignment="1">
      <alignment horizontal="center" vertical="center"/>
    </xf>
    <xf numFmtId="17" fontId="0" fillId="0" borderId="0" xfId="0" applyNumberFormat="1"/>
    <xf numFmtId="164" fontId="9" fillId="0" borderId="0" xfId="1" applyNumberFormat="1" applyFont="1" applyBorder="1"/>
    <xf numFmtId="164" fontId="0" fillId="0" borderId="0" xfId="0" applyNumberFormat="1"/>
    <xf numFmtId="0" fontId="5" fillId="0" borderId="0" xfId="0" applyFont="1" applyAlignment="1">
      <alignment horizontal="right"/>
    </xf>
    <xf numFmtId="164" fontId="10" fillId="0" borderId="9" xfId="0" applyNumberFormat="1" applyFont="1" applyBorder="1"/>
    <xf numFmtId="0" fontId="5" fillId="0" borderId="0" xfId="0" applyFont="1"/>
    <xf numFmtId="0" fontId="11" fillId="0" borderId="0" xfId="0" applyFont="1"/>
    <xf numFmtId="49" fontId="7" fillId="0" borderId="0" xfId="0" applyNumberFormat="1" applyFont="1" applyAlignment="1">
      <alignment horizontal="center"/>
    </xf>
    <xf numFmtId="49" fontId="13" fillId="0" borderId="0" xfId="0" applyNumberFormat="1" applyFont="1" applyAlignment="1">
      <alignment horizontal="center"/>
    </xf>
    <xf numFmtId="49" fontId="7" fillId="0" borderId="0" xfId="0" applyNumberFormat="1" applyFont="1" applyAlignment="1">
      <alignment horizontal="center" wrapText="1"/>
    </xf>
    <xf numFmtId="17" fontId="11" fillId="0" borderId="0" xfId="0" applyNumberFormat="1" applyFont="1"/>
    <xf numFmtId="49" fontId="0" fillId="0" borderId="0" xfId="0" applyNumberFormat="1" applyAlignment="1">
      <alignment horizontal="center"/>
    </xf>
    <xf numFmtId="17" fontId="7" fillId="0" borderId="0" xfId="0" applyNumberFormat="1" applyFont="1"/>
    <xf numFmtId="165" fontId="7" fillId="0" borderId="0" xfId="2" applyNumberFormat="1" applyFont="1" applyFill="1"/>
    <xf numFmtId="165" fontId="13" fillId="0" borderId="0" xfId="0" applyNumberFormat="1" applyFont="1"/>
    <xf numFmtId="0" fontId="7" fillId="0" borderId="0" xfId="0" applyFont="1" applyAlignment="1">
      <alignment horizontal="center"/>
    </xf>
    <xf numFmtId="17" fontId="7" fillId="3" borderId="0" xfId="0" applyNumberFormat="1" applyFont="1" applyFill="1"/>
    <xf numFmtId="0" fontId="7" fillId="0" borderId="0" xfId="2" applyNumberFormat="1" applyFont="1" applyFill="1" applyAlignment="1">
      <alignment horizontal="center"/>
    </xf>
    <xf numFmtId="44" fontId="0" fillId="0" borderId="0" xfId="2" applyFont="1"/>
    <xf numFmtId="0" fontId="14" fillId="0" borderId="0" xfId="0" applyFont="1"/>
    <xf numFmtId="0" fontId="15" fillId="3" borderId="0" xfId="0" applyFont="1" applyFill="1"/>
    <xf numFmtId="0" fontId="15" fillId="0" borderId="0" xfId="0" applyFont="1"/>
    <xf numFmtId="44" fontId="15" fillId="0" borderId="0" xfId="2" applyFont="1"/>
    <xf numFmtId="0" fontId="9" fillId="0" borderId="0" xfId="0" applyFont="1"/>
    <xf numFmtId="0" fontId="15" fillId="4" borderId="0" xfId="0" applyFont="1" applyFill="1"/>
    <xf numFmtId="0" fontId="16" fillId="0" borderId="0" xfId="0" applyFont="1"/>
    <xf numFmtId="0" fontId="15" fillId="5" borderId="0" xfId="0" applyFont="1" applyFill="1"/>
    <xf numFmtId="43" fontId="3" fillId="0" borderId="0" xfId="2" applyNumberFormat="1" applyFont="1"/>
    <xf numFmtId="0" fontId="19" fillId="0" borderId="0" xfId="0" applyFont="1"/>
    <xf numFmtId="44" fontId="19" fillId="0" borderId="0" xfId="2" applyFont="1" applyFill="1"/>
    <xf numFmtId="43" fontId="19" fillId="0" borderId="0" xfId="2" applyNumberFormat="1" applyFont="1" applyFill="1"/>
    <xf numFmtId="43" fontId="18" fillId="0" borderId="0" xfId="2" applyNumberFormat="1" applyFont="1" applyFill="1"/>
    <xf numFmtId="43" fontId="19" fillId="0" borderId="0" xfId="2" applyNumberFormat="1" applyFont="1" applyFill="1" applyBorder="1"/>
    <xf numFmtId="0" fontId="20" fillId="0" borderId="0" xfId="0" applyFont="1"/>
    <xf numFmtId="43" fontId="20" fillId="0" borderId="0" xfId="2" applyNumberFormat="1" applyFont="1" applyFill="1" applyBorder="1"/>
    <xf numFmtId="44" fontId="20" fillId="0" borderId="0" xfId="2" applyFont="1" applyFill="1"/>
    <xf numFmtId="17" fontId="4" fillId="4" borderId="0" xfId="0" applyNumberFormat="1" applyFont="1" applyFill="1" applyAlignment="1">
      <alignment horizontal="center" vertical="center"/>
    </xf>
    <xf numFmtId="0" fontId="3" fillId="4" borderId="0" xfId="0" applyFont="1" applyFill="1"/>
    <xf numFmtId="43" fontId="19" fillId="0" borderId="0" xfId="2" applyNumberFormat="1" applyFont="1" applyFill="1" applyAlignment="1">
      <alignment horizontal="left"/>
    </xf>
    <xf numFmtId="44" fontId="3" fillId="0" borderId="0" xfId="2" applyFont="1"/>
    <xf numFmtId="0" fontId="23" fillId="0" borderId="0" xfId="0" applyFont="1"/>
    <xf numFmtId="0" fontId="16" fillId="0" borderId="0" xfId="0" applyFont="1" applyAlignment="1">
      <alignment horizontal="center" vertical="center"/>
    </xf>
    <xf numFmtId="0" fontId="0" fillId="0" borderId="0" xfId="0" applyAlignment="1">
      <alignment horizontal="center" vertical="center"/>
    </xf>
    <xf numFmtId="0" fontId="16" fillId="0" borderId="0" xfId="0" applyFont="1" applyAlignment="1">
      <alignment horizontal="center" vertical="center" wrapText="1"/>
    </xf>
    <xf numFmtId="0" fontId="24" fillId="0" borderId="0" xfId="0" applyFont="1" applyAlignment="1">
      <alignment horizontal="center" vertical="center" wrapText="1"/>
    </xf>
    <xf numFmtId="44" fontId="24" fillId="0" borderId="0" xfId="2" applyFont="1" applyAlignment="1">
      <alignment horizontal="center" vertical="center" wrapText="1"/>
    </xf>
    <xf numFmtId="0" fontId="25" fillId="0" borderId="0" xfId="0" applyFont="1" applyAlignment="1">
      <alignment horizontal="center" vertical="center" wrapText="1"/>
    </xf>
    <xf numFmtId="44" fontId="25" fillId="0" borderId="0" xfId="2"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167" fontId="16" fillId="0" borderId="0" xfId="0" applyNumberFormat="1" applyFont="1" applyAlignment="1">
      <alignment wrapText="1"/>
    </xf>
    <xf numFmtId="164" fontId="24" fillId="0" borderId="0" xfId="1" applyNumberFormat="1" applyFont="1"/>
    <xf numFmtId="0" fontId="24" fillId="0" borderId="0" xfId="0" applyFont="1"/>
    <xf numFmtId="43" fontId="24" fillId="0" borderId="0" xfId="1" applyFont="1"/>
    <xf numFmtId="166" fontId="24" fillId="0" borderId="0" xfId="0" applyNumberFormat="1" applyFont="1"/>
    <xf numFmtId="164" fontId="25" fillId="0" borderId="0" xfId="1" applyNumberFormat="1" applyFont="1" applyFill="1"/>
    <xf numFmtId="0" fontId="25" fillId="0" borderId="0" xfId="0" applyFont="1"/>
    <xf numFmtId="43" fontId="25" fillId="0" borderId="0" xfId="0" applyNumberFormat="1" applyFont="1"/>
    <xf numFmtId="166" fontId="25" fillId="0" borderId="0" xfId="0" applyNumberFormat="1" applyFont="1"/>
    <xf numFmtId="0" fontId="25" fillId="0" borderId="0" xfId="0" applyFont="1" applyAlignment="1">
      <alignment horizontal="center"/>
    </xf>
    <xf numFmtId="164" fontId="16" fillId="0" borderId="0" xfId="0" applyNumberFormat="1" applyFont="1" applyAlignment="1">
      <alignment horizontal="center"/>
    </xf>
    <xf numFmtId="43" fontId="15" fillId="0" borderId="0" xfId="0" applyNumberFormat="1" applyFont="1"/>
    <xf numFmtId="164" fontId="25" fillId="0" borderId="0" xfId="1" applyNumberFormat="1" applyFont="1"/>
    <xf numFmtId="164" fontId="24" fillId="0" borderId="0" xfId="1" applyNumberFormat="1" applyFont="1" applyFill="1"/>
    <xf numFmtId="43" fontId="24" fillId="0" borderId="0" xfId="1" applyFont="1" applyFill="1"/>
    <xf numFmtId="167" fontId="16" fillId="4" borderId="0" xfId="0" applyNumberFormat="1" applyFont="1" applyFill="1" applyAlignment="1">
      <alignment wrapText="1"/>
    </xf>
    <xf numFmtId="0" fontId="25" fillId="5" borderId="0" xfId="0" applyFont="1" applyFill="1" applyAlignment="1">
      <alignment horizontal="center"/>
    </xf>
    <xf numFmtId="17" fontId="16" fillId="0" borderId="0" xfId="0" applyNumberFormat="1" applyFont="1" applyAlignment="1">
      <alignment wrapText="1"/>
    </xf>
    <xf numFmtId="0" fontId="16" fillId="4" borderId="0" xfId="0" applyFont="1" applyFill="1"/>
    <xf numFmtId="0" fontId="16" fillId="5" borderId="0" xfId="0" applyFont="1" applyFill="1"/>
    <xf numFmtId="17" fontId="15" fillId="0" borderId="0" xfId="0" applyNumberFormat="1" applyFont="1" applyAlignment="1">
      <alignment wrapText="1"/>
    </xf>
    <xf numFmtId="17" fontId="15" fillId="0" borderId="0" xfId="0" applyNumberFormat="1" applyFont="1"/>
    <xf numFmtId="17" fontId="15" fillId="4" borderId="0" xfId="0" applyNumberFormat="1" applyFont="1" applyFill="1"/>
    <xf numFmtId="17" fontId="15" fillId="0" borderId="0" xfId="0" applyNumberFormat="1" applyFont="1" applyAlignment="1">
      <alignment horizontal="left"/>
    </xf>
    <xf numFmtId="0" fontId="26" fillId="0" borderId="0" xfId="0" applyFont="1" applyAlignment="1">
      <alignment horizontal="center"/>
    </xf>
    <xf numFmtId="0" fontId="26" fillId="0" borderId="0" xfId="0" applyFont="1"/>
    <xf numFmtId="0" fontId="27" fillId="0" borderId="0" xfId="0" applyFont="1" applyAlignment="1">
      <alignment horizontal="center"/>
    </xf>
    <xf numFmtId="0" fontId="27" fillId="0" borderId="0" xfId="0" applyFont="1"/>
    <xf numFmtId="14" fontId="27" fillId="0" borderId="0" xfId="0" applyNumberFormat="1" applyFont="1" applyAlignment="1">
      <alignment horizontal="center"/>
    </xf>
    <xf numFmtId="17" fontId="15" fillId="8" borderId="0" xfId="0" applyNumberFormat="1" applyFont="1" applyFill="1"/>
    <xf numFmtId="167" fontId="16" fillId="8" borderId="0" xfId="0" applyNumberFormat="1" applyFont="1" applyFill="1" applyAlignment="1">
      <alignment wrapText="1"/>
    </xf>
    <xf numFmtId="0" fontId="0" fillId="0" borderId="0" xfId="0" applyAlignment="1">
      <alignment wrapText="1"/>
    </xf>
    <xf numFmtId="44" fontId="0" fillId="0" borderId="0" xfId="2" applyFont="1" applyAlignment="1">
      <alignment wrapText="1"/>
    </xf>
    <xf numFmtId="0" fontId="0" fillId="0" borderId="0" xfId="0" applyAlignment="1">
      <alignment horizontal="center" vertical="center" wrapText="1"/>
    </xf>
    <xf numFmtId="44" fontId="24" fillId="0" borderId="0" xfId="2" applyFont="1"/>
    <xf numFmtId="44" fontId="24" fillId="0" borderId="0" xfId="2" applyFont="1" applyFill="1"/>
    <xf numFmtId="44" fontId="25" fillId="0" borderId="0" xfId="2" applyFont="1" applyFill="1"/>
    <xf numFmtId="44" fontId="25" fillId="0" borderId="0" xfId="2" applyFont="1"/>
    <xf numFmtId="0" fontId="0" fillId="9" borderId="0" xfId="0" applyFill="1"/>
    <xf numFmtId="0" fontId="5" fillId="0" borderId="0" xfId="0" applyFont="1" applyAlignment="1">
      <alignment horizontal="center" vertical="center"/>
    </xf>
    <xf numFmtId="0" fontId="27" fillId="0" borderId="0" xfId="0" applyFont="1" applyAlignment="1">
      <alignment horizontal="left"/>
    </xf>
    <xf numFmtId="164" fontId="15" fillId="0" borderId="0" xfId="1" applyNumberFormat="1" applyFont="1"/>
    <xf numFmtId="17" fontId="15" fillId="12" borderId="0" xfId="0" applyNumberFormat="1" applyFont="1" applyFill="1"/>
    <xf numFmtId="17" fontId="16" fillId="12" borderId="0" xfId="0" applyNumberFormat="1" applyFont="1" applyFill="1" applyAlignment="1">
      <alignment wrapText="1"/>
    </xf>
    <xf numFmtId="17" fontId="11" fillId="12" borderId="0" xfId="0" applyNumberFormat="1" applyFont="1" applyFill="1"/>
    <xf numFmtId="0" fontId="11" fillId="4" borderId="0" xfId="0" applyFont="1" applyFill="1"/>
    <xf numFmtId="0" fontId="11" fillId="5" borderId="0" xfId="0" applyFont="1" applyFill="1"/>
    <xf numFmtId="17" fontId="28" fillId="0" borderId="0" xfId="0" applyNumberFormat="1" applyFont="1"/>
    <xf numFmtId="0" fontId="0" fillId="5" borderId="0" xfId="0" applyFill="1"/>
    <xf numFmtId="0" fontId="2" fillId="0" borderId="0" xfId="0" applyFont="1" applyAlignment="1">
      <alignment horizontal="center"/>
    </xf>
    <xf numFmtId="0" fontId="13" fillId="0" borderId="0" xfId="0" applyFont="1" applyAlignment="1">
      <alignment vertical="center"/>
    </xf>
    <xf numFmtId="43" fontId="4" fillId="4" borderId="4" xfId="2" applyNumberFormat="1" applyFont="1" applyFill="1" applyBorder="1"/>
    <xf numFmtId="44" fontId="3" fillId="0" borderId="0" xfId="2" applyFont="1" applyAlignment="1">
      <alignment wrapText="1"/>
    </xf>
    <xf numFmtId="43" fontId="4" fillId="12" borderId="4" xfId="2" applyNumberFormat="1" applyFont="1" applyFill="1" applyBorder="1"/>
    <xf numFmtId="43" fontId="4" fillId="13" borderId="4" xfId="2" applyNumberFormat="1" applyFont="1" applyFill="1" applyBorder="1"/>
    <xf numFmtId="44" fontId="3" fillId="0" borderId="0" xfId="2" applyFont="1" applyAlignment="1">
      <alignment horizontal="left" wrapText="1"/>
    </xf>
    <xf numFmtId="43" fontId="3" fillId="0" borderId="0" xfId="1" applyFont="1" applyFill="1" applyBorder="1"/>
    <xf numFmtId="43" fontId="4" fillId="0" borderId="0" xfId="2" applyNumberFormat="1" applyFont="1" applyFill="1" applyBorder="1"/>
    <xf numFmtId="0" fontId="2" fillId="0" borderId="0" xfId="0" applyFont="1" applyAlignment="1">
      <alignment horizontal="left"/>
    </xf>
    <xf numFmtId="0" fontId="3" fillId="0" borderId="0" xfId="0" applyFont="1" applyAlignment="1">
      <alignment wrapText="1"/>
    </xf>
    <xf numFmtId="0" fontId="3" fillId="0" borderId="0" xfId="0" applyFont="1" applyAlignment="1">
      <alignment horizontal="right"/>
    </xf>
    <xf numFmtId="0" fontId="3" fillId="0" borderId="0" xfId="0" applyFont="1" applyAlignment="1">
      <alignment horizontal="center"/>
    </xf>
    <xf numFmtId="165" fontId="3" fillId="0" borderId="0" xfId="2" quotePrefix="1" applyNumberFormat="1" applyFont="1" applyFill="1"/>
    <xf numFmtId="165" fontId="3" fillId="0" borderId="0" xfId="2" applyNumberFormat="1" applyFont="1" applyFill="1"/>
    <xf numFmtId="0" fontId="20" fillId="0" borderId="0" xfId="0" applyFont="1" applyAlignment="1">
      <alignment horizontal="left" vertical="center"/>
    </xf>
    <xf numFmtId="0" fontId="20" fillId="0" borderId="0" xfId="0" applyFont="1" applyAlignment="1">
      <alignment vertical="center"/>
    </xf>
    <xf numFmtId="165" fontId="3" fillId="0" borderId="0" xfId="0" applyNumberFormat="1" applyFont="1"/>
    <xf numFmtId="43" fontId="3" fillId="0" borderId="0" xfId="2" applyNumberFormat="1" applyFont="1" applyFill="1" applyBorder="1"/>
    <xf numFmtId="0" fontId="15" fillId="2" borderId="0" xfId="0" applyFont="1" applyFill="1" applyAlignment="1">
      <alignment horizontal="center" vertical="center" wrapText="1"/>
    </xf>
    <xf numFmtId="0" fontId="15" fillId="14" borderId="0" xfId="0" applyFont="1" applyFill="1" applyAlignment="1">
      <alignment horizontal="center" vertical="center" wrapText="1"/>
    </xf>
    <xf numFmtId="0" fontId="4" fillId="0" borderId="0" xfId="0" applyFont="1" applyAlignment="1">
      <alignment horizontal="center"/>
    </xf>
    <xf numFmtId="43" fontId="4" fillId="0" borderId="0" xfId="2" applyNumberFormat="1" applyFont="1" applyAlignment="1">
      <alignment horizontal="center"/>
    </xf>
    <xf numFmtId="17" fontId="28" fillId="0" borderId="0" xfId="0" applyNumberFormat="1" applyFont="1" applyAlignment="1">
      <alignment wrapText="1"/>
    </xf>
    <xf numFmtId="0" fontId="5" fillId="0" borderId="0" xfId="0" applyFont="1" applyAlignment="1">
      <alignment vertical="center"/>
    </xf>
    <xf numFmtId="44" fontId="5" fillId="0" borderId="0" xfId="2" applyFont="1" applyAlignment="1">
      <alignment horizontal="center" vertical="center"/>
    </xf>
    <xf numFmtId="17" fontId="16" fillId="14" borderId="0" xfId="0" applyNumberFormat="1" applyFont="1" applyFill="1" applyAlignment="1">
      <alignment wrapText="1"/>
    </xf>
    <xf numFmtId="167" fontId="16" fillId="12" borderId="0" xfId="0" applyNumberFormat="1" applyFont="1" applyFill="1" applyAlignment="1">
      <alignment wrapText="1"/>
    </xf>
    <xf numFmtId="0" fontId="15" fillId="15" borderId="0" xfId="0" applyFont="1" applyFill="1" applyAlignment="1">
      <alignment horizontal="center" vertical="center" wrapText="1"/>
    </xf>
    <xf numFmtId="0" fontId="33" fillId="5" borderId="0" xfId="0" applyFont="1" applyFill="1"/>
    <xf numFmtId="0" fontId="34" fillId="0" borderId="0" xfId="0" applyFont="1"/>
    <xf numFmtId="17" fontId="28" fillId="2" borderId="0" xfId="0" applyNumberFormat="1" applyFont="1" applyFill="1"/>
    <xf numFmtId="164" fontId="36" fillId="0" borderId="0" xfId="0" applyNumberFormat="1" applyFont="1"/>
    <xf numFmtId="0" fontId="37" fillId="0" borderId="0" xfId="0" applyFont="1" applyAlignment="1">
      <alignment horizontal="center" vertical="center" wrapText="1"/>
    </xf>
    <xf numFmtId="0" fontId="37" fillId="0" borderId="0" xfId="0" applyFont="1" applyAlignment="1">
      <alignment horizontal="center"/>
    </xf>
    <xf numFmtId="0" fontId="37" fillId="0" borderId="0" xfId="0" applyFont="1"/>
    <xf numFmtId="0" fontId="37" fillId="0" borderId="0" xfId="0" applyFont="1" applyAlignment="1">
      <alignment horizontal="left"/>
    </xf>
    <xf numFmtId="0" fontId="39" fillId="0" borderId="0" xfId="0" applyFont="1" applyAlignment="1">
      <alignment horizontal="center" vertical="center" wrapText="1"/>
    </xf>
    <xf numFmtId="44" fontId="39" fillId="0" borderId="0" xfId="2" applyFont="1" applyAlignment="1">
      <alignment horizontal="center" vertical="center" wrapText="1"/>
    </xf>
    <xf numFmtId="164" fontId="39" fillId="0" borderId="0" xfId="1" applyNumberFormat="1" applyFont="1"/>
    <xf numFmtId="43" fontId="39" fillId="0" borderId="0" xfId="0" applyNumberFormat="1" applyFont="1"/>
    <xf numFmtId="166" fontId="5" fillId="0" borderId="0" xfId="0" applyNumberFormat="1" applyFont="1" applyAlignment="1">
      <alignment horizontal="center" vertical="center"/>
    </xf>
    <xf numFmtId="166" fontId="15" fillId="0" borderId="0" xfId="0" applyNumberFormat="1" applyFont="1"/>
    <xf numFmtId="166" fontId="39" fillId="0" borderId="0" xfId="0" applyNumberFormat="1" applyFont="1" applyAlignment="1">
      <alignment horizontal="center" vertical="center" wrapText="1"/>
    </xf>
    <xf numFmtId="166" fontId="39" fillId="0" borderId="0" xfId="2" applyNumberFormat="1" applyFont="1"/>
    <xf numFmtId="0" fontId="4" fillId="11" borderId="0" xfId="0" applyFont="1" applyFill="1" applyAlignment="1">
      <alignment horizontal="left" wrapText="1"/>
    </xf>
    <xf numFmtId="44" fontId="0" fillId="0" borderId="0" xfId="0" applyNumberFormat="1" applyAlignment="1">
      <alignment horizontal="left" wrapText="1"/>
    </xf>
    <xf numFmtId="44" fontId="0" fillId="0" borderId="0" xfId="2" applyFont="1" applyFill="1"/>
    <xf numFmtId="0" fontId="0" fillId="15" borderId="0" xfId="0" applyFill="1"/>
    <xf numFmtId="43" fontId="4" fillId="0" borderId="0" xfId="1" applyFont="1"/>
    <xf numFmtId="43" fontId="3" fillId="0" borderId="0" xfId="1" applyFont="1"/>
    <xf numFmtId="43" fontId="4" fillId="0" borderId="0" xfId="0" applyNumberFormat="1" applyFont="1"/>
    <xf numFmtId="43" fontId="4" fillId="0" borderId="0" xfId="1" applyFont="1" applyFill="1" applyAlignment="1">
      <alignment horizontal="center"/>
    </xf>
    <xf numFmtId="43" fontId="4" fillId="16" borderId="4" xfId="2" applyNumberFormat="1" applyFont="1" applyFill="1" applyBorder="1"/>
    <xf numFmtId="0" fontId="40" fillId="16" borderId="0" xfId="0" applyFont="1" applyFill="1" applyAlignment="1">
      <alignment horizontal="left" wrapText="1"/>
    </xf>
    <xf numFmtId="0" fontId="4" fillId="15" borderId="0" xfId="0" applyFont="1" applyFill="1" applyAlignment="1">
      <alignment horizontal="left" wrapText="1"/>
    </xf>
    <xf numFmtId="43" fontId="4" fillId="15" borderId="4" xfId="2" applyNumberFormat="1" applyFont="1" applyFill="1" applyBorder="1"/>
    <xf numFmtId="0" fontId="4" fillId="17" borderId="0" xfId="0" applyFont="1" applyFill="1" applyAlignment="1">
      <alignment wrapText="1"/>
    </xf>
    <xf numFmtId="43" fontId="4" fillId="17" borderId="4" xfId="2" applyNumberFormat="1" applyFont="1" applyFill="1" applyBorder="1"/>
    <xf numFmtId="0" fontId="4" fillId="12" borderId="0" xfId="0" applyFont="1" applyFill="1" applyAlignment="1">
      <alignment horizontal="center" wrapText="1"/>
    </xf>
    <xf numFmtId="0" fontId="40" fillId="4" borderId="0" xfId="0" applyFont="1" applyFill="1" applyAlignment="1">
      <alignment horizontal="center" wrapText="1"/>
    </xf>
    <xf numFmtId="0" fontId="4" fillId="13" borderId="0" xfId="0" applyFont="1" applyFill="1" applyAlignment="1">
      <alignment wrapText="1"/>
    </xf>
    <xf numFmtId="0" fontId="29" fillId="11" borderId="0" xfId="0" applyFont="1" applyFill="1" applyAlignment="1">
      <alignment wrapText="1"/>
    </xf>
    <xf numFmtId="17" fontId="30" fillId="0" borderId="0" xfId="0" applyNumberFormat="1" applyFont="1" applyAlignment="1">
      <alignment horizontal="center" vertical="center"/>
    </xf>
    <xf numFmtId="44" fontId="0" fillId="0" borderId="0" xfId="2" applyFont="1" applyAlignment="1">
      <alignment horizontal="center" vertical="center" wrapText="1"/>
    </xf>
    <xf numFmtId="43" fontId="3" fillId="0" borderId="0" xfId="0" applyNumberFormat="1" applyFont="1"/>
    <xf numFmtId="0" fontId="42" fillId="18" borderId="0" xfId="0" applyFont="1" applyFill="1" applyAlignment="1">
      <alignment horizontal="center"/>
    </xf>
    <xf numFmtId="43" fontId="4" fillId="18" borderId="4" xfId="2" applyNumberFormat="1" applyFont="1" applyFill="1" applyBorder="1"/>
    <xf numFmtId="43" fontId="3" fillId="19" borderId="4" xfId="2" applyNumberFormat="1" applyFont="1" applyFill="1" applyBorder="1"/>
    <xf numFmtId="0" fontId="4" fillId="0" borderId="0" xfId="0" applyFont="1" applyAlignment="1">
      <alignment horizontal="left" wrapText="1"/>
    </xf>
    <xf numFmtId="43" fontId="3" fillId="0" borderId="0" xfId="1" applyFont="1" applyFill="1"/>
    <xf numFmtId="43" fontId="3" fillId="0" borderId="0" xfId="1" applyFont="1" applyFill="1" applyAlignment="1">
      <alignment horizontal="center" vertical="center" wrapText="1"/>
    </xf>
    <xf numFmtId="17" fontId="16" fillId="14" borderId="0" xfId="0" applyNumberFormat="1" applyFont="1" applyFill="1"/>
    <xf numFmtId="164" fontId="11" fillId="0" borderId="0" xfId="0" applyNumberFormat="1" applyFont="1"/>
    <xf numFmtId="164" fontId="43" fillId="0" borderId="0" xfId="0" applyNumberFormat="1" applyFont="1"/>
    <xf numFmtId="0" fontId="11" fillId="0" borderId="0" xfId="0" applyFont="1" applyAlignment="1">
      <alignment horizontal="right"/>
    </xf>
    <xf numFmtId="0" fontId="0" fillId="2" borderId="0" xfId="0" applyFill="1" applyAlignment="1">
      <alignment horizontal="center" vertical="center" wrapText="1"/>
    </xf>
    <xf numFmtId="44" fontId="0" fillId="2" borderId="0" xfId="2" applyFont="1" applyFill="1"/>
    <xf numFmtId="44" fontId="0" fillId="0" borderId="0" xfId="0" applyNumberFormat="1"/>
    <xf numFmtId="0" fontId="0" fillId="0" borderId="0" xfId="0" applyAlignment="1">
      <alignment horizontal="left"/>
    </xf>
    <xf numFmtId="43" fontId="44" fillId="0" borderId="0" xfId="2" applyNumberFormat="1" applyFont="1" applyFill="1" applyAlignment="1">
      <alignment horizontal="left"/>
    </xf>
    <xf numFmtId="43" fontId="19" fillId="0" borderId="0" xfId="2" applyNumberFormat="1" applyFont="1"/>
    <xf numFmtId="43" fontId="20" fillId="0" borderId="0" xfId="2" applyNumberFormat="1" applyFont="1" applyFill="1"/>
    <xf numFmtId="43" fontId="20" fillId="0" borderId="0" xfId="2" applyNumberFormat="1" applyFont="1"/>
    <xf numFmtId="43" fontId="19" fillId="0" borderId="0" xfId="0" applyNumberFormat="1" applyFont="1"/>
    <xf numFmtId="43" fontId="18" fillId="0" borderId="0" xfId="2" applyNumberFormat="1" applyFont="1"/>
    <xf numFmtId="43" fontId="18" fillId="6" borderId="0" xfId="2" applyNumberFormat="1" applyFont="1" applyFill="1"/>
    <xf numFmtId="43" fontId="18" fillId="0" borderId="0" xfId="0" applyNumberFormat="1" applyFont="1"/>
    <xf numFmtId="43" fontId="2" fillId="0" borderId="0" xfId="0" applyNumberFormat="1" applyFont="1"/>
    <xf numFmtId="43" fontId="19" fillId="6" borderId="0" xfId="2" applyNumberFormat="1" applyFont="1" applyFill="1"/>
    <xf numFmtId="43" fontId="44" fillId="0" borderId="0" xfId="0" applyNumberFormat="1" applyFont="1"/>
    <xf numFmtId="43" fontId="18" fillId="0" borderId="0" xfId="2" applyNumberFormat="1" applyFont="1" applyAlignment="1">
      <alignment horizontal="center" vertical="center" wrapText="1"/>
    </xf>
    <xf numFmtId="43" fontId="18" fillId="6" borderId="0" xfId="2" applyNumberFormat="1" applyFont="1" applyFill="1" applyAlignment="1">
      <alignment horizontal="center" vertical="center"/>
    </xf>
    <xf numFmtId="43" fontId="2" fillId="0" borderId="0" xfId="0" applyNumberFormat="1" applyFont="1" applyAlignment="1">
      <alignment horizontal="center" vertical="center" wrapText="1"/>
    </xf>
    <xf numFmtId="43" fontId="20" fillId="6" borderId="0" xfId="2" applyNumberFormat="1" applyFont="1" applyFill="1"/>
    <xf numFmtId="43" fontId="19" fillId="0" borderId="0" xfId="2" applyNumberFormat="1" applyFont="1" applyAlignment="1">
      <alignment horizontal="center" vertical="center"/>
    </xf>
    <xf numFmtId="43" fontId="19" fillId="6" borderId="0" xfId="2" applyNumberFormat="1" applyFont="1" applyFill="1" applyAlignment="1">
      <alignment horizontal="center" vertical="center"/>
    </xf>
    <xf numFmtId="43" fontId="19" fillId="0" borderId="0" xfId="0" applyNumberFormat="1" applyFont="1" applyAlignment="1">
      <alignment horizontal="center" vertical="center" wrapText="1"/>
    </xf>
    <xf numFmtId="43" fontId="44" fillId="0" borderId="0" xfId="0" applyNumberFormat="1" applyFont="1" applyAlignment="1">
      <alignment horizontal="center" vertical="center" wrapText="1"/>
    </xf>
    <xf numFmtId="43" fontId="45" fillId="0" borderId="0" xfId="2" applyNumberFormat="1" applyFont="1" applyFill="1"/>
    <xf numFmtId="43" fontId="18" fillId="5" borderId="0" xfId="2" applyNumberFormat="1" applyFont="1" applyFill="1"/>
    <xf numFmtId="43" fontId="18" fillId="9" borderId="0" xfId="0" applyNumberFormat="1" applyFont="1" applyFill="1"/>
    <xf numFmtId="43" fontId="2" fillId="9" borderId="0" xfId="0" applyNumberFormat="1" applyFont="1" applyFill="1"/>
    <xf numFmtId="168" fontId="0" fillId="0" borderId="0" xfId="3" applyNumberFormat="1" applyFont="1"/>
    <xf numFmtId="167" fontId="0" fillId="9" borderId="0" xfId="0" applyNumberFormat="1" applyFill="1"/>
    <xf numFmtId="167" fontId="0" fillId="10" borderId="0" xfId="0" applyNumberFormat="1" applyFill="1"/>
    <xf numFmtId="167" fontId="0" fillId="20" borderId="0" xfId="0" applyNumberFormat="1" applyFill="1"/>
    <xf numFmtId="167" fontId="0" fillId="21" borderId="0" xfId="0" applyNumberFormat="1" applyFill="1"/>
    <xf numFmtId="167" fontId="0" fillId="22" borderId="0" xfId="0" applyNumberFormat="1" applyFill="1"/>
    <xf numFmtId="0" fontId="46" fillId="0" borderId="0" xfId="0" applyFont="1"/>
    <xf numFmtId="44" fontId="46" fillId="0" borderId="0" xfId="2" applyFont="1"/>
    <xf numFmtId="44" fontId="46" fillId="0" borderId="0" xfId="0" applyNumberFormat="1" applyFont="1" applyAlignment="1">
      <alignment horizontal="left" wrapText="1"/>
    </xf>
    <xf numFmtId="0" fontId="47" fillId="0" borderId="0" xfId="0" applyFont="1" applyAlignment="1">
      <alignment horizontal="right"/>
    </xf>
    <xf numFmtId="167" fontId="0" fillId="23" borderId="0" xfId="0" applyNumberFormat="1" applyFill="1"/>
    <xf numFmtId="167" fontId="0" fillId="24" borderId="0" xfId="0" applyNumberFormat="1" applyFill="1"/>
    <xf numFmtId="167" fontId="0" fillId="25" borderId="0" xfId="0" applyNumberFormat="1" applyFill="1"/>
    <xf numFmtId="168" fontId="0" fillId="0" borderId="0" xfId="3" applyNumberFormat="1" applyFont="1" applyFill="1"/>
    <xf numFmtId="0" fontId="5" fillId="0" borderId="0" xfId="0" applyFont="1" applyAlignment="1">
      <alignment wrapText="1"/>
    </xf>
    <xf numFmtId="44" fontId="0" fillId="21" borderId="0" xfId="0" applyNumberFormat="1" applyFill="1"/>
    <xf numFmtId="168" fontId="0" fillId="21" borderId="0" xfId="3" applyNumberFormat="1" applyFont="1" applyFill="1"/>
    <xf numFmtId="44" fontId="0" fillId="22" borderId="0" xfId="0" applyNumberFormat="1" applyFill="1"/>
    <xf numFmtId="168" fontId="0" fillId="22" borderId="0" xfId="3" applyNumberFormat="1" applyFont="1" applyFill="1"/>
    <xf numFmtId="44" fontId="0" fillId="22" borderId="0" xfId="2" applyFont="1" applyFill="1"/>
    <xf numFmtId="44" fontId="0" fillId="23" borderId="0" xfId="0" applyNumberFormat="1" applyFill="1"/>
    <xf numFmtId="168" fontId="0" fillId="23" borderId="0" xfId="3" applyNumberFormat="1" applyFont="1" applyFill="1"/>
    <xf numFmtId="44" fontId="0" fillId="24" borderId="0" xfId="0" applyNumberFormat="1" applyFill="1"/>
    <xf numFmtId="168" fontId="0" fillId="24" borderId="0" xfId="3" applyNumberFormat="1" applyFont="1" applyFill="1"/>
    <xf numFmtId="44" fontId="0" fillId="25" borderId="0" xfId="0" applyNumberFormat="1" applyFill="1"/>
    <xf numFmtId="168" fontId="0" fillId="25" borderId="0" xfId="3" applyNumberFormat="1" applyFont="1" applyFill="1"/>
    <xf numFmtId="168" fontId="0" fillId="25" borderId="0" xfId="0" applyNumberFormat="1" applyFill="1"/>
    <xf numFmtId="44" fontId="0" fillId="9" borderId="0" xfId="2" applyFont="1" applyFill="1"/>
    <xf numFmtId="168" fontId="0" fillId="9" borderId="0" xfId="3" applyNumberFormat="1" applyFont="1" applyFill="1"/>
    <xf numFmtId="44" fontId="0" fillId="9" borderId="0" xfId="0" applyNumberFormat="1" applyFill="1"/>
    <xf numFmtId="44" fontId="0" fillId="10" borderId="0" xfId="2" applyFont="1" applyFill="1"/>
    <xf numFmtId="168" fontId="0" fillId="10" borderId="0" xfId="3" applyNumberFormat="1" applyFont="1" applyFill="1"/>
    <xf numFmtId="44" fontId="0" fillId="10" borderId="0" xfId="0" applyNumberFormat="1" applyFill="1"/>
    <xf numFmtId="44" fontId="0" fillId="20" borderId="0" xfId="0" applyNumberFormat="1" applyFill="1"/>
    <xf numFmtId="168" fontId="0" fillId="20" borderId="0" xfId="3" applyNumberFormat="1" applyFont="1" applyFill="1"/>
    <xf numFmtId="44" fontId="5" fillId="0" borderId="0" xfId="0" applyNumberFormat="1" applyFont="1"/>
    <xf numFmtId="168" fontId="5" fillId="0" borderId="0" xfId="3" applyNumberFormat="1" applyFont="1"/>
    <xf numFmtId="0" fontId="51" fillId="0" borderId="8" xfId="0" applyFont="1" applyBorder="1" applyAlignment="1">
      <alignment horizontal="center" vertical="center"/>
    </xf>
    <xf numFmtId="164" fontId="52" fillId="0" borderId="12" xfId="1" applyNumberFormat="1" applyFont="1" applyBorder="1"/>
    <xf numFmtId="164" fontId="53" fillId="0" borderId="8" xfId="0" applyNumberFormat="1" applyFont="1" applyBorder="1"/>
    <xf numFmtId="0" fontId="54" fillId="0" borderId="9" xfId="0" applyFont="1" applyBorder="1" applyAlignment="1">
      <alignment horizontal="center" vertical="center"/>
    </xf>
    <xf numFmtId="164" fontId="55" fillId="0" borderId="13" xfId="1" applyNumberFormat="1" applyFont="1" applyBorder="1"/>
    <xf numFmtId="164" fontId="55" fillId="0" borderId="0" xfId="1" applyNumberFormat="1" applyFont="1" applyBorder="1"/>
    <xf numFmtId="164" fontId="46" fillId="0" borderId="10" xfId="0" applyNumberFormat="1" applyFont="1" applyBorder="1"/>
    <xf numFmtId="0" fontId="54" fillId="0" borderId="10" xfId="0" applyFont="1" applyBorder="1" applyAlignment="1">
      <alignment horizontal="center" vertical="center"/>
    </xf>
    <xf numFmtId="164" fontId="46" fillId="0" borderId="9" xfId="0" applyNumberFormat="1" applyFont="1" applyBorder="1"/>
    <xf numFmtId="0" fontId="56" fillId="0" borderId="8" xfId="0" applyFont="1" applyBorder="1" applyAlignment="1">
      <alignment horizontal="center" vertical="center"/>
    </xf>
    <xf numFmtId="164" fontId="57" fillId="0" borderId="12" xfId="1" applyNumberFormat="1" applyFont="1" applyFill="1" applyBorder="1"/>
    <xf numFmtId="164" fontId="57" fillId="0" borderId="12" xfId="1" applyNumberFormat="1" applyFont="1" applyBorder="1"/>
    <xf numFmtId="164" fontId="58" fillId="0" borderId="8" xfId="0" applyNumberFormat="1" applyFont="1" applyBorder="1"/>
    <xf numFmtId="43" fontId="11" fillId="0" borderId="0" xfId="0" applyNumberFormat="1" applyFont="1"/>
    <xf numFmtId="43" fontId="11" fillId="0" borderId="0" xfId="1" applyFont="1"/>
    <xf numFmtId="167" fontId="0" fillId="12" borderId="0" xfId="0" applyNumberFormat="1" applyFill="1"/>
    <xf numFmtId="44" fontId="0" fillId="12" borderId="0" xfId="0" applyNumberFormat="1" applyFill="1"/>
    <xf numFmtId="168" fontId="0" fillId="12" borderId="0" xfId="3" applyNumberFormat="1" applyFont="1" applyFill="1"/>
    <xf numFmtId="168" fontId="0" fillId="12" borderId="0" xfId="0" applyNumberFormat="1" applyFill="1"/>
    <xf numFmtId="167" fontId="0" fillId="26" borderId="0" xfId="0" applyNumberFormat="1" applyFill="1"/>
    <xf numFmtId="44" fontId="0" fillId="26" borderId="0" xfId="0" applyNumberFormat="1" applyFill="1"/>
    <xf numFmtId="168" fontId="0" fillId="26" borderId="0" xfId="3" applyNumberFormat="1" applyFont="1" applyFill="1"/>
    <xf numFmtId="168" fontId="0" fillId="26" borderId="0" xfId="0" applyNumberFormat="1" applyFill="1"/>
    <xf numFmtId="44" fontId="0" fillId="27" borderId="0" xfId="2" applyFont="1" applyFill="1" applyAlignment="1">
      <alignment wrapText="1"/>
    </xf>
    <xf numFmtId="44" fontId="0" fillId="27" borderId="0" xfId="2" applyFont="1" applyFill="1"/>
    <xf numFmtId="0" fontId="0" fillId="28" borderId="0" xfId="0" applyFill="1" applyAlignment="1">
      <alignment wrapText="1"/>
    </xf>
    <xf numFmtId="0" fontId="0" fillId="29" borderId="0" xfId="0" applyFill="1" applyAlignment="1">
      <alignment horizontal="center" wrapText="1"/>
    </xf>
    <xf numFmtId="0" fontId="0" fillId="29" borderId="0" xfId="0" applyFill="1" applyAlignment="1">
      <alignment horizontal="center" vertical="center" wrapText="1"/>
    </xf>
    <xf numFmtId="14" fontId="0" fillId="30" borderId="0" xfId="0" applyNumberFormat="1" applyFill="1"/>
    <xf numFmtId="44" fontId="0" fillId="30" borderId="0" xfId="2" applyFont="1" applyFill="1"/>
    <xf numFmtId="44" fontId="0" fillId="5" borderId="0" xfId="2" applyFont="1" applyFill="1"/>
    <xf numFmtId="0" fontId="0" fillId="31" borderId="0" xfId="0" applyFill="1"/>
    <xf numFmtId="44" fontId="0" fillId="31" borderId="0" xfId="2" applyFont="1" applyFill="1"/>
    <xf numFmtId="0" fontId="0" fillId="32" borderId="0" xfId="0" applyFill="1" applyAlignment="1">
      <alignment wrapText="1"/>
    </xf>
    <xf numFmtId="14" fontId="0" fillId="32" borderId="0" xfId="0" applyNumberFormat="1" applyFill="1"/>
    <xf numFmtId="0" fontId="0" fillId="32" borderId="0" xfId="0" applyFill="1"/>
    <xf numFmtId="44" fontId="0" fillId="15" borderId="0" xfId="2" applyFont="1" applyFill="1"/>
    <xf numFmtId="0" fontId="5" fillId="30" borderId="14" xfId="0" applyFont="1" applyFill="1" applyBorder="1"/>
    <xf numFmtId="0" fontId="5" fillId="30" borderId="15" xfId="0" applyFont="1" applyFill="1" applyBorder="1"/>
    <xf numFmtId="44" fontId="5" fillId="30" borderId="15" xfId="2" applyFont="1" applyFill="1" applyBorder="1"/>
    <xf numFmtId="44" fontId="5" fillId="30" borderId="16" xfId="2" applyFont="1" applyFill="1" applyBorder="1"/>
    <xf numFmtId="0" fontId="5" fillId="32" borderId="14" xfId="0" applyFont="1" applyFill="1" applyBorder="1" applyAlignment="1">
      <alignment wrapText="1"/>
    </xf>
    <xf numFmtId="0" fontId="0" fillId="32" borderId="15" xfId="0" applyFill="1" applyBorder="1"/>
    <xf numFmtId="44" fontId="0" fillId="32" borderId="15" xfId="2" applyFont="1" applyFill="1" applyBorder="1" applyAlignment="1">
      <alignment wrapText="1"/>
    </xf>
    <xf numFmtId="44" fontId="0" fillId="32" borderId="16" xfId="2" applyFont="1" applyFill="1" applyBorder="1" applyAlignment="1">
      <alignment wrapText="1"/>
    </xf>
    <xf numFmtId="0" fontId="5" fillId="5" borderId="14" xfId="0" applyFont="1" applyFill="1" applyBorder="1"/>
    <xf numFmtId="0" fontId="0" fillId="5" borderId="15" xfId="0" applyFill="1" applyBorder="1"/>
    <xf numFmtId="44" fontId="0" fillId="5" borderId="15" xfId="2" applyFont="1" applyFill="1" applyBorder="1"/>
    <xf numFmtId="44" fontId="0" fillId="5" borderId="16" xfId="2" applyFont="1" applyFill="1" applyBorder="1"/>
    <xf numFmtId="0" fontId="5" fillId="15" borderId="14" xfId="0" applyFont="1" applyFill="1" applyBorder="1"/>
    <xf numFmtId="0" fontId="0" fillId="15" borderId="15" xfId="0" applyFill="1" applyBorder="1"/>
    <xf numFmtId="44" fontId="0" fillId="15" borderId="15" xfId="2" applyFont="1" applyFill="1" applyBorder="1"/>
    <xf numFmtId="44" fontId="0" fillId="15" borderId="16" xfId="2" applyFont="1" applyFill="1" applyBorder="1"/>
    <xf numFmtId="0" fontId="0" fillId="33" borderId="0" xfId="0" applyFill="1" applyAlignment="1">
      <alignment horizontal="center" vertical="center" wrapText="1"/>
    </xf>
    <xf numFmtId="44" fontId="0" fillId="33" borderId="0" xfId="2" applyFont="1" applyFill="1"/>
    <xf numFmtId="167" fontId="0" fillId="34" borderId="0" xfId="0" applyNumberFormat="1" applyFill="1"/>
    <xf numFmtId="44" fontId="0" fillId="34" borderId="0" xfId="0" applyNumberFormat="1" applyFill="1"/>
    <xf numFmtId="168" fontId="0" fillId="34" borderId="0" xfId="3" applyNumberFormat="1" applyFont="1" applyFill="1"/>
    <xf numFmtId="168" fontId="0" fillId="34" borderId="0" xfId="0" applyNumberFormat="1" applyFill="1"/>
    <xf numFmtId="44" fontId="0" fillId="34" borderId="0" xfId="2" applyFont="1" applyFill="1"/>
    <xf numFmtId="43" fontId="61" fillId="14" borderId="0" xfId="1" applyFont="1" applyFill="1" applyAlignment="1">
      <alignment horizontal="center" wrapText="1"/>
    </xf>
    <xf numFmtId="17" fontId="16" fillId="0" borderId="0" xfId="0" applyNumberFormat="1" applyFont="1"/>
    <xf numFmtId="164" fontId="15" fillId="0" borderId="0" xfId="1" applyNumberFormat="1" applyFont="1" applyFill="1"/>
    <xf numFmtId="164" fontId="24" fillId="0" borderId="0" xfId="1" applyNumberFormat="1" applyFont="1" applyFill="1" applyAlignment="1">
      <alignment horizontal="right"/>
    </xf>
    <xf numFmtId="44" fontId="15" fillId="0" borderId="0" xfId="2" applyFont="1" applyFill="1"/>
    <xf numFmtId="164" fontId="39" fillId="0" borderId="0" xfId="1" applyNumberFormat="1" applyFont="1" applyFill="1"/>
    <xf numFmtId="166" fontId="39" fillId="0" borderId="0" xfId="2" applyNumberFormat="1" applyFont="1" applyFill="1"/>
    <xf numFmtId="164" fontId="48" fillId="0" borderId="0" xfId="1" applyNumberFormat="1" applyFont="1" applyFill="1"/>
    <xf numFmtId="44" fontId="48" fillId="0" borderId="0" xfId="2" applyFont="1" applyFill="1"/>
    <xf numFmtId="166" fontId="48" fillId="0" borderId="0" xfId="0" applyNumberFormat="1" applyFont="1"/>
    <xf numFmtId="17" fontId="15" fillId="35" borderId="0" xfId="0" applyNumberFormat="1" applyFont="1" applyFill="1"/>
    <xf numFmtId="17" fontId="16" fillId="35" borderId="0" xfId="0" applyNumberFormat="1" applyFont="1" applyFill="1" applyAlignment="1">
      <alignment wrapText="1"/>
    </xf>
    <xf numFmtId="167" fontId="0" fillId="17" borderId="0" xfId="0" applyNumberFormat="1" applyFill="1"/>
    <xf numFmtId="164" fontId="49" fillId="0" borderId="12" xfId="1" applyNumberFormat="1" applyFont="1" applyBorder="1"/>
    <xf numFmtId="164" fontId="49" fillId="0" borderId="12" xfId="1" applyNumberFormat="1" applyFont="1" applyFill="1" applyBorder="1"/>
    <xf numFmtId="164" fontId="5" fillId="7" borderId="8" xfId="0" applyNumberFormat="1" applyFont="1" applyFill="1" applyBorder="1"/>
    <xf numFmtId="44" fontId="4" fillId="0" borderId="0" xfId="2" applyFont="1" applyFill="1" applyAlignment="1">
      <alignment horizontal="right"/>
    </xf>
    <xf numFmtId="0" fontId="0" fillId="0" borderId="0" xfId="0" applyAlignment="1">
      <alignment horizontal="right"/>
    </xf>
    <xf numFmtId="0" fontId="2" fillId="0" borderId="0" xfId="0" applyFont="1"/>
    <xf numFmtId="168" fontId="15" fillId="0" borderId="0" xfId="3" applyNumberFormat="1" applyFont="1"/>
    <xf numFmtId="44" fontId="15" fillId="0" borderId="0" xfId="2" applyFont="1" applyAlignment="1">
      <alignment horizontal="left"/>
    </xf>
    <xf numFmtId="0" fontId="11" fillId="0" borderId="0" xfId="0" applyFont="1" applyAlignment="1">
      <alignment horizontal="left" wrapText="1"/>
    </xf>
    <xf numFmtId="0" fontId="6" fillId="0" borderId="0" xfId="0" applyFont="1" applyAlignment="1">
      <alignment horizontal="center" vertical="center"/>
    </xf>
    <xf numFmtId="0" fontId="7" fillId="0" borderId="0" xfId="0" applyFont="1" applyAlignment="1">
      <alignment horizontal="center" vertical="top"/>
    </xf>
    <xf numFmtId="0" fontId="51" fillId="0" borderId="6" xfId="0" applyFont="1" applyBorder="1" applyAlignment="1">
      <alignment horizontal="center" vertical="center"/>
    </xf>
    <xf numFmtId="0" fontId="51" fillId="0" borderId="7" xfId="0" applyFont="1" applyBorder="1" applyAlignment="1">
      <alignment horizontal="center" vertical="center"/>
    </xf>
    <xf numFmtId="0" fontId="56" fillId="0" borderId="6" xfId="0" applyFont="1" applyBorder="1" applyAlignment="1">
      <alignment horizontal="center" vertical="center"/>
    </xf>
    <xf numFmtId="0" fontId="56" fillId="0" borderId="7" xfId="0" applyFont="1" applyBorder="1" applyAlignment="1">
      <alignment horizontal="center" vertical="center"/>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8" xfId="0" applyFont="1" applyBorder="1" applyAlignment="1">
      <alignment horizontal="center" vertical="center" wrapText="1"/>
    </xf>
    <xf numFmtId="0" fontId="2"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vertical="center"/>
    </xf>
    <xf numFmtId="17" fontId="28" fillId="0" borderId="0" xfId="0" applyNumberFormat="1" applyFont="1" applyAlignment="1">
      <alignment horizontal="left" wrapText="1"/>
    </xf>
    <xf numFmtId="17" fontId="62" fillId="0" borderId="0" xfId="0" applyNumberFormat="1" applyFont="1" applyAlignment="1">
      <alignment horizontal="left" wrapText="1"/>
    </xf>
    <xf numFmtId="0" fontId="59" fillId="0" borderId="0" xfId="0" applyFont="1" applyAlignment="1">
      <alignment horizontal="center" wrapText="1"/>
    </xf>
    <xf numFmtId="0" fontId="60" fillId="0" borderId="0" xfId="0" applyFont="1" applyAlignment="1">
      <alignment horizontal="center"/>
    </xf>
    <xf numFmtId="17" fontId="4"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44" fontId="0" fillId="0" borderId="0" xfId="0" applyNumberFormat="1" applyFill="1"/>
    <xf numFmtId="167" fontId="0" fillId="0" borderId="0" xfId="0" applyNumberFormat="1" applyFill="1"/>
    <xf numFmtId="44" fontId="0" fillId="17" borderId="0" xfId="0" applyNumberFormat="1" applyFill="1"/>
    <xf numFmtId="168" fontId="0" fillId="17" borderId="0" xfId="3" applyNumberFormat="1" applyFont="1" applyFill="1"/>
    <xf numFmtId="168" fontId="0" fillId="17" borderId="0" xfId="0" applyNumberFormat="1" applyFill="1"/>
    <xf numFmtId="168" fontId="0" fillId="0" borderId="0" xfId="0" applyNumberFormat="1" applyFill="1"/>
    <xf numFmtId="0" fontId="0" fillId="0" borderId="0" xfId="0" applyFill="1"/>
    <xf numFmtId="2" fontId="15" fillId="0" borderId="0" xfId="2" applyNumberFormat="1" applyFont="1"/>
    <xf numFmtId="0" fontId="35" fillId="0" borderId="0" xfId="0" applyFont="1" applyFill="1"/>
    <xf numFmtId="0" fontId="16" fillId="0" borderId="0" xfId="0" applyFont="1" applyFill="1"/>
    <xf numFmtId="17" fontId="16" fillId="0" borderId="0" xfId="0" applyNumberFormat="1" applyFont="1" applyFill="1"/>
    <xf numFmtId="17" fontId="16" fillId="0" borderId="0" xfId="0" applyNumberFormat="1" applyFont="1" applyFill="1" applyAlignment="1">
      <alignment wrapText="1"/>
    </xf>
    <xf numFmtId="43" fontId="63" fillId="0" borderId="0" xfId="2" applyNumberFormat="1" applyFont="1" applyFill="1"/>
    <xf numFmtId="43" fontId="63" fillId="0" borderId="0" xfId="2" applyNumberFormat="1" applyFont="1" applyFill="1" applyAlignment="1">
      <alignment horizontal="right"/>
    </xf>
    <xf numFmtId="43" fontId="63" fillId="0" borderId="0" xfId="0" applyNumberFormat="1" applyFont="1"/>
    <xf numFmtId="43" fontId="63" fillId="0" borderId="0" xfId="2" applyNumberFormat="1" applyFont="1" applyFill="1" applyAlignment="1">
      <alignment horizontal="left"/>
    </xf>
    <xf numFmtId="166" fontId="24" fillId="0" borderId="0" xfId="0" applyNumberFormat="1" applyFont="1" applyFill="1"/>
    <xf numFmtId="0" fontId="25" fillId="0" borderId="0" xfId="0" applyFont="1" applyFill="1"/>
    <xf numFmtId="43" fontId="25" fillId="0" borderId="0" xfId="0" applyNumberFormat="1" applyFont="1" applyFill="1"/>
    <xf numFmtId="0" fontId="48" fillId="0" borderId="0" xfId="0" applyFont="1" applyFill="1"/>
    <xf numFmtId="43" fontId="48" fillId="0" borderId="0" xfId="0" applyNumberFormat="1" applyFont="1" applyFill="1"/>
  </cellXfs>
  <cellStyles count="4">
    <cellStyle name="Comma" xfId="1" builtinId="3"/>
    <cellStyle name="Currency" xfId="2" builtinId="4"/>
    <cellStyle name="Normal" xfId="0" builtinId="0"/>
    <cellStyle name="Percent" xfId="3" builtinId="5"/>
  </cellStyles>
  <dxfs count="3">
    <dxf>
      <fill>
        <patternFill>
          <bgColor rgb="FFFF6600"/>
        </patternFill>
      </fill>
    </dxf>
    <dxf>
      <font>
        <color rgb="FF9C0006"/>
      </font>
      <fill>
        <patternFill>
          <bgColor rgb="FFFFC7CE"/>
        </patternFill>
      </fill>
    </dxf>
    <dxf>
      <fill>
        <patternFill>
          <bgColor rgb="FFFF9900"/>
        </patternFill>
      </fill>
    </dxf>
  </dxfs>
  <tableStyles count="0" defaultTableStyle="TableStyleMedium2" defaultPivotStyle="PivotStyleLight16"/>
  <colors>
    <mruColors>
      <color rgb="FF99FFCC"/>
      <color rgb="FFFFCCFF"/>
      <color rgb="FF00B050"/>
      <color rgb="FF9933FF"/>
      <color rgb="FF9966FF"/>
      <color rgb="FFCCFFCC"/>
      <color rgb="FFCC9900"/>
      <color rgb="FF0099CC"/>
      <color rgb="FFFF990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chemeClr val="accent1"/>
                </a:solidFill>
              </a:rPr>
              <a:t>Income</a:t>
            </a:r>
            <a:r>
              <a:rPr lang="en-US"/>
              <a:t>, </a:t>
            </a:r>
            <a:r>
              <a:rPr lang="en-US">
                <a:solidFill>
                  <a:schemeClr val="accent2"/>
                </a:solidFill>
              </a:rPr>
              <a:t>Expenses</a:t>
            </a:r>
            <a:r>
              <a:rPr lang="en-US"/>
              <a:t>, </a:t>
            </a:r>
            <a:r>
              <a:rPr lang="en-US">
                <a:solidFill>
                  <a:srgbClr val="00B050"/>
                </a:solidFill>
              </a:rPr>
              <a:t>Bank Balance</a:t>
            </a:r>
          </a:p>
        </c:rich>
      </c:tx>
      <c:layout>
        <c:manualLayout>
          <c:xMode val="edge"/>
          <c:yMode val="edge"/>
          <c:x val="0.19166666666666668"/>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726404985893617"/>
          <c:y val="0.13593220338983053"/>
          <c:w val="0.78045317369036737"/>
          <c:h val="0.62443258152053027"/>
        </c:manualLayout>
      </c:layout>
      <c:barChart>
        <c:barDir val="col"/>
        <c:grouping val="clustered"/>
        <c:varyColors val="0"/>
        <c:ser>
          <c:idx val="0"/>
          <c:order val="0"/>
          <c:tx>
            <c:v>Income</c:v>
          </c:tx>
          <c:spPr>
            <a:solidFill>
              <a:schemeClr val="accent1"/>
            </a:solidFill>
            <a:ln>
              <a:solidFill>
                <a:srgbClr val="00B050">
                  <a:alpha val="98000"/>
                </a:srgbClr>
              </a:solidFill>
            </a:ln>
            <a:effectLst/>
          </c:spPr>
          <c:invertIfNegative val="0"/>
          <c:cat>
            <c:numRef>
              <c:f>'FY25 Overview'!$A$5:$A$16</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'FY25 Overview'!$B$5:$B$16</c:f>
              <c:numCache>
                <c:formatCode>_(* #,##0_);_(* \(#,##0\);_(* "-"??_);_(@_)</c:formatCode>
                <c:ptCount val="12"/>
                <c:pt idx="0">
                  <c:v>2094.35</c:v>
                </c:pt>
                <c:pt idx="1">
                  <c:v>12567.9</c:v>
                </c:pt>
                <c:pt idx="2">
                  <c:v>1791.9</c:v>
                </c:pt>
                <c:pt idx="3">
                  <c:v>11613.87</c:v>
                </c:pt>
                <c:pt idx="4">
                  <c:v>1345.23</c:v>
                </c:pt>
                <c:pt idx="5">
                  <c:v>15000.25</c:v>
                </c:pt>
                <c:pt idx="6">
                  <c:v>1053.25</c:v>
                </c:pt>
                <c:pt idx="7">
                  <c:v>11668.779999999999</c:v>
                </c:pt>
                <c:pt idx="8">
                  <c:v>1123.83</c:v>
                </c:pt>
                <c:pt idx="9">
                  <c:v>12345.509999999998</c:v>
                </c:pt>
                <c:pt idx="10">
                  <c:v>2376.73</c:v>
                </c:pt>
                <c:pt idx="11">
                  <c:v>12316.51</c:v>
                </c:pt>
              </c:numCache>
            </c:numRef>
          </c:val>
          <c:extLst>
            <c:ext xmlns:c16="http://schemas.microsoft.com/office/drawing/2014/chart" uri="{C3380CC4-5D6E-409C-BE32-E72D297353CC}">
              <c16:uniqueId val="{00000000-BE1F-4DBB-A414-57123C020DBA}"/>
            </c:ext>
          </c:extLst>
        </c:ser>
        <c:ser>
          <c:idx val="1"/>
          <c:order val="1"/>
          <c:tx>
            <c:v>Expenses</c:v>
          </c:tx>
          <c:spPr>
            <a:solidFill>
              <a:schemeClr val="accent2"/>
            </a:solidFill>
            <a:ln>
              <a:noFill/>
            </a:ln>
            <a:effectLst/>
          </c:spPr>
          <c:invertIfNegative val="0"/>
          <c:cat>
            <c:numRef>
              <c:f>'FY25 Overview'!$A$5:$A$16</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'FY25 Overview'!$D$5:$D$16</c:f>
              <c:numCache>
                <c:formatCode>_(* #,##0_);_(* \(#,##0\);_(* "-"??_);_(@_)</c:formatCode>
                <c:ptCount val="12"/>
                <c:pt idx="0">
                  <c:v>3043.8199999999997</c:v>
                </c:pt>
                <c:pt idx="1">
                  <c:v>3652.79</c:v>
                </c:pt>
                <c:pt idx="2">
                  <c:v>5428.74</c:v>
                </c:pt>
                <c:pt idx="3">
                  <c:v>7283.3</c:v>
                </c:pt>
                <c:pt idx="4">
                  <c:v>3449.44</c:v>
                </c:pt>
                <c:pt idx="5">
                  <c:v>5134.84</c:v>
                </c:pt>
                <c:pt idx="6">
                  <c:v>3072.6</c:v>
                </c:pt>
                <c:pt idx="7">
                  <c:v>4614.1200000000008</c:v>
                </c:pt>
                <c:pt idx="8">
                  <c:v>4113.7700000000004</c:v>
                </c:pt>
                <c:pt idx="9">
                  <c:v>4402.29</c:v>
                </c:pt>
                <c:pt idx="10">
                  <c:v>14772.009999999998</c:v>
                </c:pt>
                <c:pt idx="11">
                  <c:v>8014.4699999999993</c:v>
                </c:pt>
              </c:numCache>
            </c:numRef>
          </c:val>
          <c:extLst>
            <c:ext xmlns:c16="http://schemas.microsoft.com/office/drawing/2014/chart" uri="{C3380CC4-5D6E-409C-BE32-E72D297353CC}">
              <c16:uniqueId val="{00000001-BE1F-4DBB-A414-57123C020DBA}"/>
            </c:ext>
          </c:extLst>
        </c:ser>
        <c:dLbls>
          <c:showLegendKey val="0"/>
          <c:showVal val="0"/>
          <c:showCatName val="0"/>
          <c:showSerName val="0"/>
          <c:showPercent val="0"/>
          <c:showBubbleSize val="0"/>
        </c:dLbls>
        <c:gapWidth val="219"/>
        <c:overlap val="-27"/>
        <c:axId val="900427263"/>
        <c:axId val="900422271"/>
      </c:barChart>
      <c:lineChart>
        <c:grouping val="standard"/>
        <c:varyColors val="0"/>
        <c:ser>
          <c:idx val="2"/>
          <c:order val="2"/>
          <c:tx>
            <c:v>Bank Balance</c:v>
          </c:tx>
          <c:spPr>
            <a:ln w="28575" cap="rnd">
              <a:solidFill>
                <a:srgbClr val="00B050"/>
              </a:solidFill>
              <a:round/>
            </a:ln>
            <a:effectLst/>
          </c:spPr>
          <c:marker>
            <c:symbol val="none"/>
          </c:marker>
          <c:cat>
            <c:numRef>
              <c:f>'FY25 Overview'!$A$5:$A$16</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'FY25 Overview'!$G$5:$G$16</c:f>
              <c:numCache>
                <c:formatCode>_(* #,##0_);_(* \(#,##0\);_(* "-"??_);_(@_)</c:formatCode>
                <c:ptCount val="12"/>
                <c:pt idx="0">
                  <c:v>87126.159999999989</c:v>
                </c:pt>
                <c:pt idx="1">
                  <c:v>93427.209999999977</c:v>
                </c:pt>
                <c:pt idx="2">
                  <c:v>88425.48000000001</c:v>
                </c:pt>
                <c:pt idx="3">
                  <c:v>93259.459999999992</c:v>
                </c:pt>
                <c:pt idx="4">
                  <c:v>98496.180000000008</c:v>
                </c:pt>
                <c:pt idx="5">
                  <c:v>100947.09999999998</c:v>
                </c:pt>
                <c:pt idx="6">
                  <c:v>101292.84999999999</c:v>
                </c:pt>
                <c:pt idx="7">
                  <c:v>106898.01999999999</c:v>
                </c:pt>
                <c:pt idx="8">
                  <c:v>107930.40999999999</c:v>
                </c:pt>
                <c:pt idx="9">
                  <c:v>86231.859999999986</c:v>
                </c:pt>
                <c:pt idx="10">
                  <c:v>88596</c:v>
                </c:pt>
                <c:pt idx="11">
                  <c:v>83922.81</c:v>
                </c:pt>
              </c:numCache>
            </c:numRef>
          </c:val>
          <c:smooth val="0"/>
          <c:extLst>
            <c:ext xmlns:c16="http://schemas.microsoft.com/office/drawing/2014/chart" uri="{C3380CC4-5D6E-409C-BE32-E72D297353CC}">
              <c16:uniqueId val="{00000002-BE1F-4DBB-A414-57123C020DBA}"/>
            </c:ext>
          </c:extLst>
        </c:ser>
        <c:dLbls>
          <c:showLegendKey val="0"/>
          <c:showVal val="0"/>
          <c:showCatName val="0"/>
          <c:showSerName val="0"/>
          <c:showPercent val="0"/>
          <c:showBubbleSize val="0"/>
        </c:dLbls>
        <c:marker val="1"/>
        <c:smooth val="0"/>
        <c:axId val="900427679"/>
        <c:axId val="900431423"/>
      </c:lineChart>
      <c:dateAx>
        <c:axId val="900427263"/>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0422271"/>
        <c:crosses val="autoZero"/>
        <c:auto val="1"/>
        <c:lblOffset val="100"/>
        <c:baseTimeUnit val="months"/>
      </c:dateAx>
      <c:valAx>
        <c:axId val="900422271"/>
        <c:scaling>
          <c:orientation val="minMax"/>
          <c:max val="20000"/>
          <c:min val="100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0427263"/>
        <c:crosses val="autoZero"/>
        <c:crossBetween val="between"/>
      </c:valAx>
      <c:valAx>
        <c:axId val="900431423"/>
        <c:scaling>
          <c:orientation val="minMax"/>
          <c:max val="130000"/>
          <c:min val="85000"/>
        </c:scaling>
        <c:delete val="0"/>
        <c:axPos val="r"/>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50"/>
                </a:solidFill>
                <a:latin typeface="+mn-lt"/>
                <a:ea typeface="+mn-ea"/>
                <a:cs typeface="+mn-cs"/>
              </a:defRPr>
            </a:pPr>
            <a:endParaRPr lang="en-US"/>
          </a:p>
        </c:txPr>
        <c:crossAx val="900427679"/>
        <c:crosses val="max"/>
        <c:crossBetween val="between"/>
      </c:valAx>
      <c:dateAx>
        <c:axId val="900427679"/>
        <c:scaling>
          <c:orientation val="minMax"/>
        </c:scaling>
        <c:delete val="1"/>
        <c:axPos val="b"/>
        <c:numFmt formatCode="mmm\-yy" sourceLinked="1"/>
        <c:majorTickMark val="out"/>
        <c:minorTickMark val="none"/>
        <c:tickLblPos val="nextTo"/>
        <c:crossAx val="900431423"/>
        <c:crosses val="autoZero"/>
        <c:auto val="1"/>
        <c:lblOffset val="100"/>
        <c:baseTimeUnit val="months"/>
      </c:dateAx>
      <c:spPr>
        <a:noFill/>
        <a:ln>
          <a:noFill/>
        </a:ln>
        <a:effectLst/>
      </c:spPr>
    </c:plotArea>
    <c:legend>
      <c:legendPos val="b"/>
      <c:layout>
        <c:manualLayout>
          <c:xMode val="edge"/>
          <c:yMode val="edge"/>
          <c:x val="0.22542658358181417"/>
          <c:y val="0.87308156020164462"/>
          <c:w val="0.62977167536597611"/>
          <c:h val="0.1073298012087372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Aging Summary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12628837012502"/>
          <c:y val="0.14528016363318896"/>
          <c:w val="0.72163034228230005"/>
          <c:h val="0.53420215833772833"/>
        </c:manualLayout>
      </c:layout>
      <c:barChart>
        <c:barDir val="col"/>
        <c:grouping val="clustered"/>
        <c:varyColors val="0"/>
        <c:ser>
          <c:idx val="0"/>
          <c:order val="0"/>
          <c:tx>
            <c:strRef>
              <c:f>Aging!$B$2</c:f>
              <c:strCache>
                <c:ptCount val="1"/>
                <c:pt idx="0">
                  <c:v>1-30</c:v>
                </c:pt>
              </c:strCache>
            </c:strRef>
          </c:tx>
          <c:spPr>
            <a:solidFill>
              <a:schemeClr val="accent1"/>
            </a:solidFill>
            <a:ln>
              <a:noFill/>
            </a:ln>
            <a:effectLst/>
          </c:spPr>
          <c:invertIfNegative val="0"/>
          <c:cat>
            <c:numRef>
              <c:f>Aging!$A$3:$A$14</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Aging!$B$3:$B$14</c:f>
              <c:numCache>
                <c:formatCode>_("$"* #,##0_);_("$"* \(#,##0\);_("$"* "-"??_);_(@_)</c:formatCode>
                <c:ptCount val="12"/>
                <c:pt idx="0">
                  <c:v>1990</c:v>
                </c:pt>
                <c:pt idx="1">
                  <c:v>0</c:v>
                </c:pt>
                <c:pt idx="2">
                  <c:v>1218</c:v>
                </c:pt>
                <c:pt idx="3">
                  <c:v>0</c:v>
                </c:pt>
                <c:pt idx="4">
                  <c:v>1386</c:v>
                </c:pt>
                <c:pt idx="5">
                  <c:v>0</c:v>
                </c:pt>
                <c:pt idx="6">
                  <c:v>1061.1600000000001</c:v>
                </c:pt>
                <c:pt idx="7">
                  <c:v>0</c:v>
                </c:pt>
                <c:pt idx="8">
                  <c:v>2243</c:v>
                </c:pt>
                <c:pt idx="9">
                  <c:v>0</c:v>
                </c:pt>
                <c:pt idx="10">
                  <c:v>1392</c:v>
                </c:pt>
                <c:pt idx="11">
                  <c:v>210</c:v>
                </c:pt>
              </c:numCache>
            </c:numRef>
          </c:val>
          <c:extLst>
            <c:ext xmlns:c16="http://schemas.microsoft.com/office/drawing/2014/chart" uri="{C3380CC4-5D6E-409C-BE32-E72D297353CC}">
              <c16:uniqueId val="{00000000-BF42-4CF5-9C9A-E177ECF81E34}"/>
            </c:ext>
          </c:extLst>
        </c:ser>
        <c:ser>
          <c:idx val="1"/>
          <c:order val="1"/>
          <c:tx>
            <c:strRef>
              <c:f>Aging!$C$2</c:f>
              <c:strCache>
                <c:ptCount val="1"/>
                <c:pt idx="0">
                  <c:v>31-60 </c:v>
                </c:pt>
              </c:strCache>
            </c:strRef>
          </c:tx>
          <c:spPr>
            <a:solidFill>
              <a:schemeClr val="accent2"/>
            </a:solidFill>
            <a:ln>
              <a:noFill/>
            </a:ln>
            <a:effectLst/>
          </c:spPr>
          <c:invertIfNegative val="0"/>
          <c:cat>
            <c:numRef>
              <c:f>Aging!$A$3:$A$14</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Aging!$C$3:$C$14</c:f>
              <c:numCache>
                <c:formatCode>_("$"* #,##0_);_("$"* \(#,##0\);_("$"* "-"??_);_(@_)</c:formatCode>
                <c:ptCount val="12"/>
                <c:pt idx="1">
                  <c:v>1229</c:v>
                </c:pt>
                <c:pt idx="2">
                  <c:v>0</c:v>
                </c:pt>
                <c:pt idx="3">
                  <c:v>696</c:v>
                </c:pt>
                <c:pt idx="4">
                  <c:v>0</c:v>
                </c:pt>
                <c:pt idx="5">
                  <c:v>174</c:v>
                </c:pt>
                <c:pt idx="6">
                  <c:v>0</c:v>
                </c:pt>
                <c:pt idx="7">
                  <c:v>365.16</c:v>
                </c:pt>
                <c:pt idx="8">
                  <c:v>0</c:v>
                </c:pt>
                <c:pt idx="9">
                  <c:v>677.7</c:v>
                </c:pt>
                <c:pt idx="10">
                  <c:v>0</c:v>
                </c:pt>
                <c:pt idx="11">
                  <c:v>1208</c:v>
                </c:pt>
              </c:numCache>
            </c:numRef>
          </c:val>
          <c:extLst>
            <c:ext xmlns:c16="http://schemas.microsoft.com/office/drawing/2014/chart" uri="{C3380CC4-5D6E-409C-BE32-E72D297353CC}">
              <c16:uniqueId val="{00000001-BF42-4CF5-9C9A-E177ECF81E34}"/>
            </c:ext>
          </c:extLst>
        </c:ser>
        <c:ser>
          <c:idx val="2"/>
          <c:order val="2"/>
          <c:tx>
            <c:strRef>
              <c:f>Aging!$D$2</c:f>
              <c:strCache>
                <c:ptCount val="1"/>
                <c:pt idx="0">
                  <c:v>61-90</c:v>
                </c:pt>
              </c:strCache>
            </c:strRef>
          </c:tx>
          <c:spPr>
            <a:solidFill>
              <a:schemeClr val="accent3"/>
            </a:solidFill>
            <a:ln>
              <a:noFill/>
            </a:ln>
            <a:effectLst/>
          </c:spPr>
          <c:invertIfNegative val="0"/>
          <c:cat>
            <c:numRef>
              <c:f>Aging!$A$3:$A$14</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Aging!$D$3:$D$14</c:f>
              <c:numCache>
                <c:formatCode>_("$"* #,##0_);_("$"* \(#,##0\);_("$"* "-"??_);_(@_)</c:formatCode>
                <c:ptCount val="12"/>
                <c:pt idx="0">
                  <c:v>1512</c:v>
                </c:pt>
                <c:pt idx="1">
                  <c:v>0</c:v>
                </c:pt>
                <c:pt idx="2">
                  <c:v>1392</c:v>
                </c:pt>
                <c:pt idx="3">
                  <c:v>0</c:v>
                </c:pt>
                <c:pt idx="4">
                  <c:v>1247</c:v>
                </c:pt>
                <c:pt idx="5">
                  <c:v>0</c:v>
                </c:pt>
                <c:pt idx="6">
                  <c:v>505</c:v>
                </c:pt>
                <c:pt idx="7">
                  <c:v>0</c:v>
                </c:pt>
                <c:pt idx="8">
                  <c:v>1184</c:v>
                </c:pt>
                <c:pt idx="9">
                  <c:v>0</c:v>
                </c:pt>
                <c:pt idx="10">
                  <c:v>1082</c:v>
                </c:pt>
                <c:pt idx="11">
                  <c:v>0</c:v>
                </c:pt>
              </c:numCache>
            </c:numRef>
          </c:val>
          <c:extLst>
            <c:ext xmlns:c16="http://schemas.microsoft.com/office/drawing/2014/chart" uri="{C3380CC4-5D6E-409C-BE32-E72D297353CC}">
              <c16:uniqueId val="{00000002-BF42-4CF5-9C9A-E177ECF81E34}"/>
            </c:ext>
          </c:extLst>
        </c:ser>
        <c:ser>
          <c:idx val="3"/>
          <c:order val="3"/>
          <c:tx>
            <c:strRef>
              <c:f>Aging!$E$2</c:f>
              <c:strCache>
                <c:ptCount val="1"/>
                <c:pt idx="0">
                  <c:v>91-120</c:v>
                </c:pt>
              </c:strCache>
            </c:strRef>
          </c:tx>
          <c:spPr>
            <a:solidFill>
              <a:schemeClr val="accent4"/>
            </a:solidFill>
            <a:ln>
              <a:noFill/>
            </a:ln>
            <a:effectLst/>
          </c:spPr>
          <c:invertIfNegative val="0"/>
          <c:cat>
            <c:numRef>
              <c:f>Aging!$A$3:$A$14</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Aging!$E$3:$E$14</c:f>
              <c:numCache>
                <c:formatCode>_("$"* #,##0_);_("$"* \(#,##0\);_("$"* "-"??_);_(@_)</c:formatCode>
                <c:ptCount val="12"/>
                <c:pt idx="0">
                  <c:v>539</c:v>
                </c:pt>
                <c:pt idx="1">
                  <c:v>1176</c:v>
                </c:pt>
                <c:pt idx="2">
                  <c:v>1176</c:v>
                </c:pt>
                <c:pt idx="3">
                  <c:v>1872</c:v>
                </c:pt>
                <c:pt idx="4">
                  <c:v>1530</c:v>
                </c:pt>
                <c:pt idx="5">
                  <c:v>516</c:v>
                </c:pt>
                <c:pt idx="6">
                  <c:v>0</c:v>
                </c:pt>
                <c:pt idx="7">
                  <c:v>0</c:v>
                </c:pt>
                <c:pt idx="8">
                  <c:v>690</c:v>
                </c:pt>
                <c:pt idx="9">
                  <c:v>348</c:v>
                </c:pt>
                <c:pt idx="10">
                  <c:v>174</c:v>
                </c:pt>
                <c:pt idx="11">
                  <c:v>1008</c:v>
                </c:pt>
              </c:numCache>
            </c:numRef>
          </c:val>
          <c:extLst>
            <c:ext xmlns:c16="http://schemas.microsoft.com/office/drawing/2014/chart" uri="{C3380CC4-5D6E-409C-BE32-E72D297353CC}">
              <c16:uniqueId val="{00000003-BF42-4CF5-9C9A-E177ECF81E34}"/>
            </c:ext>
          </c:extLst>
        </c:ser>
        <c:ser>
          <c:idx val="4"/>
          <c:order val="4"/>
          <c:tx>
            <c:strRef>
              <c:f>Aging!$F$2</c:f>
              <c:strCache>
                <c:ptCount val="1"/>
                <c:pt idx="0">
                  <c:v>121-150</c:v>
                </c:pt>
              </c:strCache>
            </c:strRef>
          </c:tx>
          <c:spPr>
            <a:solidFill>
              <a:schemeClr val="accent5"/>
            </a:solidFill>
            <a:ln>
              <a:noFill/>
            </a:ln>
            <a:effectLst/>
          </c:spPr>
          <c:invertIfNegative val="0"/>
          <c:cat>
            <c:numRef>
              <c:f>Aging!$A$3:$A$14</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Aging!$F$3:$F$14</c:f>
              <c:numCache>
                <c:formatCode>_("$"* #,##0_);_("$"* \(#,##0\);_("$"* "-"??_);_(@_)</c:formatCode>
                <c:ptCount val="12"/>
                <c:pt idx="6">
                  <c:v>516</c:v>
                </c:pt>
                <c:pt idx="7">
                  <c:v>719</c:v>
                </c:pt>
              </c:numCache>
            </c:numRef>
          </c:val>
          <c:extLst>
            <c:ext xmlns:c16="http://schemas.microsoft.com/office/drawing/2014/chart" uri="{C3380CC4-5D6E-409C-BE32-E72D297353CC}">
              <c16:uniqueId val="{00000004-BF42-4CF5-9C9A-E177ECF81E34}"/>
            </c:ext>
          </c:extLst>
        </c:ser>
        <c:ser>
          <c:idx val="5"/>
          <c:order val="5"/>
          <c:tx>
            <c:strRef>
              <c:f>Aging!$G$2</c:f>
              <c:strCache>
                <c:ptCount val="1"/>
                <c:pt idx="0">
                  <c:v>&gt;150</c:v>
                </c:pt>
              </c:strCache>
            </c:strRef>
          </c:tx>
          <c:spPr>
            <a:solidFill>
              <a:srgbClr val="FF00FF"/>
            </a:solidFill>
            <a:ln>
              <a:noFill/>
            </a:ln>
            <a:effectLst/>
          </c:spPr>
          <c:invertIfNegative val="0"/>
          <c:cat>
            <c:numRef>
              <c:f>Aging!$A$3:$A$14</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Aging!$G$3:$G$14</c:f>
              <c:numCache>
                <c:formatCode>_("$"* #,##0_);_("$"* \(#,##0\);_("$"* "-"??_);_(@_)</c:formatCode>
                <c:ptCount val="12"/>
              </c:numCache>
            </c:numRef>
          </c:val>
          <c:extLst>
            <c:ext xmlns:c16="http://schemas.microsoft.com/office/drawing/2014/chart" uri="{C3380CC4-5D6E-409C-BE32-E72D297353CC}">
              <c16:uniqueId val="{00000005-BF42-4CF5-9C9A-E177ECF81E34}"/>
            </c:ext>
          </c:extLst>
        </c:ser>
        <c:dLbls>
          <c:showLegendKey val="0"/>
          <c:showVal val="0"/>
          <c:showCatName val="0"/>
          <c:showSerName val="0"/>
          <c:showPercent val="0"/>
          <c:showBubbleSize val="0"/>
        </c:dLbls>
        <c:gapWidth val="219"/>
        <c:axId val="963520480"/>
        <c:axId val="1431724736"/>
      </c:barChart>
      <c:lineChart>
        <c:grouping val="standard"/>
        <c:varyColors val="0"/>
        <c:ser>
          <c:idx val="6"/>
          <c:order val="6"/>
          <c:tx>
            <c:strRef>
              <c:f>Aging!$I$2</c:f>
              <c:strCache>
                <c:ptCount val="1"/>
                <c:pt idx="0">
                  <c:v># of Households Past Due</c:v>
                </c:pt>
              </c:strCache>
            </c:strRef>
          </c:tx>
          <c:spPr>
            <a:ln w="28575" cap="rnd">
              <a:solidFill>
                <a:srgbClr val="9933FF"/>
              </a:solidFill>
              <a:round/>
            </a:ln>
            <a:effectLst/>
          </c:spPr>
          <c:marker>
            <c:symbol val="none"/>
          </c:marker>
          <c:cat>
            <c:numRef>
              <c:f>Aging!$A$3:$A$14</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Aging!$I$3:$I$14</c:f>
              <c:numCache>
                <c:formatCode>General</c:formatCode>
                <c:ptCount val="12"/>
                <c:pt idx="0">
                  <c:v>10</c:v>
                </c:pt>
                <c:pt idx="1">
                  <c:v>6</c:v>
                </c:pt>
                <c:pt idx="2">
                  <c:v>7</c:v>
                </c:pt>
                <c:pt idx="3">
                  <c:v>4</c:v>
                </c:pt>
                <c:pt idx="4">
                  <c:v>8</c:v>
                </c:pt>
                <c:pt idx="5">
                  <c:v>1</c:v>
                </c:pt>
                <c:pt idx="6">
                  <c:v>7</c:v>
                </c:pt>
                <c:pt idx="7">
                  <c:v>3</c:v>
                </c:pt>
                <c:pt idx="8">
                  <c:v>12</c:v>
                </c:pt>
                <c:pt idx="9">
                  <c:v>3</c:v>
                </c:pt>
                <c:pt idx="10">
                  <c:v>8</c:v>
                </c:pt>
                <c:pt idx="11">
                  <c:v>7</c:v>
                </c:pt>
              </c:numCache>
            </c:numRef>
          </c:val>
          <c:smooth val="0"/>
          <c:extLst>
            <c:ext xmlns:c16="http://schemas.microsoft.com/office/drawing/2014/chart" uri="{C3380CC4-5D6E-409C-BE32-E72D297353CC}">
              <c16:uniqueId val="{00000006-BF42-4CF5-9C9A-E177ECF81E34}"/>
            </c:ext>
          </c:extLst>
        </c:ser>
        <c:dLbls>
          <c:showLegendKey val="0"/>
          <c:showVal val="0"/>
          <c:showCatName val="0"/>
          <c:showSerName val="0"/>
          <c:showPercent val="0"/>
          <c:showBubbleSize val="0"/>
        </c:dLbls>
        <c:marker val="1"/>
        <c:smooth val="0"/>
        <c:axId val="963521920"/>
        <c:axId val="1431725232"/>
      </c:lineChart>
      <c:dateAx>
        <c:axId val="9635204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of Days Past Due</a:t>
                </a:r>
              </a:p>
            </c:rich>
          </c:tx>
          <c:layout>
            <c:manualLayout>
              <c:xMode val="edge"/>
              <c:yMode val="edge"/>
              <c:x val="0.41515573351965818"/>
              <c:y val="0.84257520101409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1724736"/>
        <c:crosses val="autoZero"/>
        <c:auto val="1"/>
        <c:lblOffset val="100"/>
        <c:baseTimeUnit val="months"/>
      </c:dateAx>
      <c:valAx>
        <c:axId val="14317247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Amount Past</a:t>
                </a:r>
                <a:r>
                  <a:rPr lang="en-US" baseline="0"/>
                  <a:t> Due</a:t>
                </a:r>
                <a:endParaRPr lang="en-US"/>
              </a:p>
            </c:rich>
          </c:tx>
          <c:layout>
            <c:manualLayout>
              <c:xMode val="edge"/>
              <c:yMode val="edge"/>
              <c:x val="9.9516644577843632E-3"/>
              <c:y val="0.2654463466617886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3520480"/>
        <c:crosses val="autoZero"/>
        <c:crossBetween val="between"/>
      </c:valAx>
      <c:valAx>
        <c:axId val="143172523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rgbClr val="9966FF"/>
                    </a:solidFill>
                  </a:rPr>
                  <a:t>$ of Households</a:t>
                </a:r>
                <a:r>
                  <a:rPr lang="en-US" baseline="0">
                    <a:solidFill>
                      <a:srgbClr val="9966FF"/>
                    </a:solidFill>
                  </a:rPr>
                  <a:t> Past Due</a:t>
                </a:r>
                <a:endParaRPr lang="en-US">
                  <a:solidFill>
                    <a:srgbClr val="9966FF"/>
                  </a:solidFill>
                </a:endParaRPr>
              </a:p>
            </c:rich>
          </c:tx>
          <c:layout>
            <c:manualLayout>
              <c:xMode val="edge"/>
              <c:yMode val="edge"/>
              <c:x val="0.93099101520159822"/>
              <c:y val="0.208848012682315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3521920"/>
        <c:crosses val="max"/>
        <c:crossBetween val="between"/>
      </c:valAx>
      <c:dateAx>
        <c:axId val="963521920"/>
        <c:scaling>
          <c:orientation val="minMax"/>
        </c:scaling>
        <c:delete val="1"/>
        <c:axPos val="b"/>
        <c:numFmt formatCode="mmm\-yy" sourceLinked="1"/>
        <c:majorTickMark val="out"/>
        <c:minorTickMark val="none"/>
        <c:tickLblPos val="nextTo"/>
        <c:crossAx val="1431725232"/>
        <c:crosses val="autoZero"/>
        <c:auto val="1"/>
        <c:lblOffset val="100"/>
        <c:baseTimeUnit val="months"/>
      </c:dateAx>
      <c:spPr>
        <a:noFill/>
        <a:ln>
          <a:noFill/>
        </a:ln>
        <a:effectLst/>
      </c:spPr>
    </c:plotArea>
    <c:legend>
      <c:legendPos val="b"/>
      <c:legendEntry>
        <c:idx val="6"/>
        <c:delete val="1"/>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3366FF"/>
                </a:solidFill>
              </a:rPr>
              <a:t>461 Hebb Park [Pump House]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177991925928089E-2"/>
          <c:y val="0.10858052009281166"/>
          <c:w val="0.80431242596159669"/>
          <c:h val="0.71596335568834535"/>
        </c:manualLayout>
      </c:layout>
      <c:barChart>
        <c:barDir val="col"/>
        <c:grouping val="clustered"/>
        <c:varyColors val="0"/>
        <c:ser>
          <c:idx val="0"/>
          <c:order val="0"/>
          <c:tx>
            <c:strRef>
              <c:f>PGE!$C$3</c:f>
              <c:strCache>
                <c:ptCount val="1"/>
                <c:pt idx="0">
                  <c:v>kWh</c:v>
                </c:pt>
              </c:strCache>
            </c:strRef>
          </c:tx>
          <c:spPr>
            <a:solidFill>
              <a:schemeClr val="accent1"/>
            </a:solidFill>
            <a:ln>
              <a:noFill/>
            </a:ln>
            <a:effectLst/>
          </c:spPr>
          <c:invertIfNegative val="0"/>
          <c:cat>
            <c:numRef>
              <c:f>PGE!$B$4:$B$90</c:f>
              <c:numCache>
                <c:formatCode>[$-409]mmm\-yy;@</c:formatCode>
                <c:ptCount val="87"/>
                <c:pt idx="0">
                  <c:v>43770</c:v>
                </c:pt>
                <c:pt idx="1">
                  <c:v>43800</c:v>
                </c:pt>
                <c:pt idx="2">
                  <c:v>43831</c:v>
                </c:pt>
                <c:pt idx="3">
                  <c:v>43862</c:v>
                </c:pt>
                <c:pt idx="4">
                  <c:v>43891</c:v>
                </c:pt>
                <c:pt idx="5">
                  <c:v>43922</c:v>
                </c:pt>
                <c:pt idx="6">
                  <c:v>43952</c:v>
                </c:pt>
                <c:pt idx="7">
                  <c:v>43983</c:v>
                </c:pt>
                <c:pt idx="8">
                  <c:v>44013</c:v>
                </c:pt>
                <c:pt idx="9">
                  <c:v>44044</c:v>
                </c:pt>
                <c:pt idx="10">
                  <c:v>44075</c:v>
                </c:pt>
                <c:pt idx="11">
                  <c:v>44105</c:v>
                </c:pt>
                <c:pt idx="12">
                  <c:v>44136</c:v>
                </c:pt>
                <c:pt idx="13">
                  <c:v>44166</c:v>
                </c:pt>
                <c:pt idx="14">
                  <c:v>44197</c:v>
                </c:pt>
                <c:pt idx="15">
                  <c:v>44228</c:v>
                </c:pt>
                <c:pt idx="16">
                  <c:v>44256</c:v>
                </c:pt>
                <c:pt idx="17">
                  <c:v>44287</c:v>
                </c:pt>
                <c:pt idx="18">
                  <c:v>44317</c:v>
                </c:pt>
                <c:pt idx="19">
                  <c:v>44348</c:v>
                </c:pt>
                <c:pt idx="20">
                  <c:v>44378</c:v>
                </c:pt>
                <c:pt idx="21">
                  <c:v>44409</c:v>
                </c:pt>
                <c:pt idx="22">
                  <c:v>44440</c:v>
                </c:pt>
                <c:pt idx="23">
                  <c:v>44470</c:v>
                </c:pt>
                <c:pt idx="24">
                  <c:v>44501</c:v>
                </c:pt>
                <c:pt idx="25">
                  <c:v>44531</c:v>
                </c:pt>
                <c:pt idx="26">
                  <c:v>44562</c:v>
                </c:pt>
                <c:pt idx="27">
                  <c:v>44593</c:v>
                </c:pt>
                <c:pt idx="28">
                  <c:v>44621</c:v>
                </c:pt>
                <c:pt idx="29">
                  <c:v>44652</c:v>
                </c:pt>
                <c:pt idx="30">
                  <c:v>44682</c:v>
                </c:pt>
                <c:pt idx="31">
                  <c:v>44713</c:v>
                </c:pt>
                <c:pt idx="32">
                  <c:v>44743</c:v>
                </c:pt>
                <c:pt idx="33">
                  <c:v>44774</c:v>
                </c:pt>
                <c:pt idx="34">
                  <c:v>44805</c:v>
                </c:pt>
                <c:pt idx="35">
                  <c:v>44835</c:v>
                </c:pt>
                <c:pt idx="36">
                  <c:v>44866</c:v>
                </c:pt>
                <c:pt idx="37">
                  <c:v>44896</c:v>
                </c:pt>
                <c:pt idx="38">
                  <c:v>44927</c:v>
                </c:pt>
                <c:pt idx="39">
                  <c:v>44958</c:v>
                </c:pt>
                <c:pt idx="40">
                  <c:v>44986</c:v>
                </c:pt>
                <c:pt idx="41" formatCode="mmm\-yy">
                  <c:v>45017</c:v>
                </c:pt>
                <c:pt idx="42">
                  <c:v>45047</c:v>
                </c:pt>
                <c:pt idx="43" formatCode="mmm\-yy">
                  <c:v>45078</c:v>
                </c:pt>
                <c:pt idx="44" formatCode="mmm\-yy">
                  <c:v>45108</c:v>
                </c:pt>
                <c:pt idx="45" formatCode="mmm\-yy">
                  <c:v>45139</c:v>
                </c:pt>
                <c:pt idx="46" formatCode="mmm\-yy">
                  <c:v>45170</c:v>
                </c:pt>
                <c:pt idx="47" formatCode="mmm\-yy">
                  <c:v>45200</c:v>
                </c:pt>
                <c:pt idx="48" formatCode="mmm\-yy">
                  <c:v>45231</c:v>
                </c:pt>
                <c:pt idx="49" formatCode="mmm\-yy">
                  <c:v>45261</c:v>
                </c:pt>
                <c:pt idx="50" formatCode="mmm\-yy">
                  <c:v>45292</c:v>
                </c:pt>
                <c:pt idx="51" formatCode="mmm\-yy">
                  <c:v>45323</c:v>
                </c:pt>
                <c:pt idx="52" formatCode="mmm\-yy">
                  <c:v>45352</c:v>
                </c:pt>
                <c:pt idx="53" formatCode="mmm\-yy">
                  <c:v>45383</c:v>
                </c:pt>
                <c:pt idx="54" formatCode="mmm\-yy">
                  <c:v>45413</c:v>
                </c:pt>
                <c:pt idx="55" formatCode="mmm\-yy">
                  <c:v>45444</c:v>
                </c:pt>
                <c:pt idx="56" formatCode="mmm\-yy">
                  <c:v>45474</c:v>
                </c:pt>
                <c:pt idx="57" formatCode="mmm\-yy">
                  <c:v>45505</c:v>
                </c:pt>
                <c:pt idx="58" formatCode="mmm\-yy">
                  <c:v>45536</c:v>
                </c:pt>
                <c:pt idx="59" formatCode="mmm\-yy">
                  <c:v>45566</c:v>
                </c:pt>
                <c:pt idx="60" formatCode="mmm\-yy">
                  <c:v>45566</c:v>
                </c:pt>
                <c:pt idx="61" formatCode="mmm\-yy">
                  <c:v>45985</c:v>
                </c:pt>
                <c:pt idx="62" formatCode="mmm\-yy">
                  <c:v>45597</c:v>
                </c:pt>
                <c:pt idx="63" formatCode="mmm\-yy">
                  <c:v>45627</c:v>
                </c:pt>
                <c:pt idx="64" formatCode="mmm\-yy">
                  <c:v>45627</c:v>
                </c:pt>
                <c:pt idx="65" formatCode="mmm\-yy">
                  <c:v>45658</c:v>
                </c:pt>
                <c:pt idx="66" formatCode="mmm\-yy">
                  <c:v>45658</c:v>
                </c:pt>
                <c:pt idx="67" formatCode="mmm\-yy">
                  <c:v>45713</c:v>
                </c:pt>
                <c:pt idx="68" formatCode="mmm\-yy">
                  <c:v>45713</c:v>
                </c:pt>
                <c:pt idx="69" formatCode="mmm\-yy">
                  <c:v>45741</c:v>
                </c:pt>
                <c:pt idx="70" formatCode="mmm\-yy">
                  <c:v>45741</c:v>
                </c:pt>
                <c:pt idx="71" formatCode="mmm\-yy">
                  <c:v>45748</c:v>
                </c:pt>
                <c:pt idx="72" formatCode="mmm\-yy">
                  <c:v>45748</c:v>
                </c:pt>
                <c:pt idx="73" formatCode="mmm\-yy">
                  <c:v>45778</c:v>
                </c:pt>
                <c:pt idx="74" formatCode="mmm\-yy">
                  <c:v>45778</c:v>
                </c:pt>
                <c:pt idx="75" formatCode="mmm\-yy">
                  <c:v>45809</c:v>
                </c:pt>
                <c:pt idx="76" formatCode="mmm\-yy">
                  <c:v>45809</c:v>
                </c:pt>
                <c:pt idx="77" formatCode="mmm\-yy">
                  <c:v>45839</c:v>
                </c:pt>
                <c:pt idx="78" formatCode="mmm\-yy">
                  <c:v>45870</c:v>
                </c:pt>
                <c:pt idx="79" formatCode="mmm\-yy">
                  <c:v>45901</c:v>
                </c:pt>
                <c:pt idx="80" formatCode="mmm\-yy">
                  <c:v>45931</c:v>
                </c:pt>
              </c:numCache>
            </c:numRef>
          </c:cat>
          <c:val>
            <c:numRef>
              <c:f>PGE!$C$4:$C$90</c:f>
              <c:numCache>
                <c:formatCode>_(* #,##0_);_(* \(#,##0\);_(* "-"??_);_(@_)</c:formatCode>
                <c:ptCount val="87"/>
                <c:pt idx="0">
                  <c:v>1582</c:v>
                </c:pt>
                <c:pt idx="1">
                  <c:v>1582</c:v>
                </c:pt>
                <c:pt idx="2">
                  <c:v>1854</c:v>
                </c:pt>
                <c:pt idx="3">
                  <c:v>1691</c:v>
                </c:pt>
                <c:pt idx="4">
                  <c:v>1714</c:v>
                </c:pt>
                <c:pt idx="5">
                  <c:v>2640</c:v>
                </c:pt>
                <c:pt idx="6">
                  <c:v>1986</c:v>
                </c:pt>
                <c:pt idx="7">
                  <c:v>2527</c:v>
                </c:pt>
                <c:pt idx="8">
                  <c:v>2630</c:v>
                </c:pt>
                <c:pt idx="9">
                  <c:v>3590</c:v>
                </c:pt>
                <c:pt idx="10">
                  <c:v>3683</c:v>
                </c:pt>
                <c:pt idx="11">
                  <c:v>3612</c:v>
                </c:pt>
                <c:pt idx="12">
                  <c:v>2217</c:v>
                </c:pt>
                <c:pt idx="13">
                  <c:v>2346</c:v>
                </c:pt>
                <c:pt idx="14">
                  <c:v>1977</c:v>
                </c:pt>
                <c:pt idx="15">
                  <c:v>1690</c:v>
                </c:pt>
                <c:pt idx="16">
                  <c:v>1067</c:v>
                </c:pt>
                <c:pt idx="17">
                  <c:v>1639</c:v>
                </c:pt>
                <c:pt idx="18">
                  <c:v>1967</c:v>
                </c:pt>
                <c:pt idx="19">
                  <c:v>3273</c:v>
                </c:pt>
                <c:pt idx="20">
                  <c:v>3565</c:v>
                </c:pt>
                <c:pt idx="21">
                  <c:v>3825</c:v>
                </c:pt>
                <c:pt idx="22">
                  <c:v>4021</c:v>
                </c:pt>
                <c:pt idx="23">
                  <c:v>3167</c:v>
                </c:pt>
                <c:pt idx="24">
                  <c:v>2046</c:v>
                </c:pt>
                <c:pt idx="25">
                  <c:v>2550</c:v>
                </c:pt>
                <c:pt idx="26">
                  <c:v>2339</c:v>
                </c:pt>
                <c:pt idx="27">
                  <c:v>2001</c:v>
                </c:pt>
                <c:pt idx="28">
                  <c:v>1919</c:v>
                </c:pt>
                <c:pt idx="29">
                  <c:v>2047</c:v>
                </c:pt>
                <c:pt idx="30">
                  <c:v>1507</c:v>
                </c:pt>
                <c:pt idx="31">
                  <c:v>2130</c:v>
                </c:pt>
                <c:pt idx="32">
                  <c:v>2534</c:v>
                </c:pt>
                <c:pt idx="33">
                  <c:v>3773</c:v>
                </c:pt>
                <c:pt idx="34">
                  <c:v>3969</c:v>
                </c:pt>
                <c:pt idx="35">
                  <c:v>3606</c:v>
                </c:pt>
                <c:pt idx="36">
                  <c:v>2419</c:v>
                </c:pt>
                <c:pt idx="37">
                  <c:v>2347</c:v>
                </c:pt>
                <c:pt idx="38">
                  <c:v>2403</c:v>
                </c:pt>
                <c:pt idx="39">
                  <c:v>2609</c:v>
                </c:pt>
                <c:pt idx="40">
                  <c:v>2344</c:v>
                </c:pt>
                <c:pt idx="41">
                  <c:v>2314</c:v>
                </c:pt>
                <c:pt idx="42">
                  <c:v>2348</c:v>
                </c:pt>
                <c:pt idx="43">
                  <c:v>4034</c:v>
                </c:pt>
                <c:pt idx="44">
                  <c:v>4319</c:v>
                </c:pt>
                <c:pt idx="45">
                  <c:v>4643</c:v>
                </c:pt>
                <c:pt idx="46">
                  <c:v>4907</c:v>
                </c:pt>
                <c:pt idx="47">
                  <c:v>3137</c:v>
                </c:pt>
                <c:pt idx="48">
                  <c:v>2006</c:v>
                </c:pt>
                <c:pt idx="49">
                  <c:v>2384</c:v>
                </c:pt>
                <c:pt idx="50">
                  <c:v>2626</c:v>
                </c:pt>
                <c:pt idx="51">
                  <c:v>2437</c:v>
                </c:pt>
                <c:pt idx="52">
                  <c:v>2177</c:v>
                </c:pt>
                <c:pt idx="53">
                  <c:v>2139</c:v>
                </c:pt>
                <c:pt idx="54">
                  <c:v>2286</c:v>
                </c:pt>
                <c:pt idx="55">
                  <c:v>2452</c:v>
                </c:pt>
                <c:pt idx="56">
                  <c:v>3225</c:v>
                </c:pt>
                <c:pt idx="57">
                  <c:v>3735</c:v>
                </c:pt>
                <c:pt idx="58">
                  <c:v>3587</c:v>
                </c:pt>
                <c:pt idx="60">
                  <c:v>3337</c:v>
                </c:pt>
                <c:pt idx="62">
                  <c:v>2302</c:v>
                </c:pt>
                <c:pt idx="64">
                  <c:v>2404</c:v>
                </c:pt>
                <c:pt idx="66">
                  <c:v>2613</c:v>
                </c:pt>
                <c:pt idx="68">
                  <c:v>2026</c:v>
                </c:pt>
                <c:pt idx="69">
                  <c:v>2026</c:v>
                </c:pt>
                <c:pt idx="71">
                  <c:v>2284</c:v>
                </c:pt>
                <c:pt idx="73">
                  <c:v>2491</c:v>
                </c:pt>
                <c:pt idx="75">
                  <c:v>2999</c:v>
                </c:pt>
                <c:pt idx="77">
                  <c:v>3893</c:v>
                </c:pt>
                <c:pt idx="78">
                  <c:v>4878</c:v>
                </c:pt>
                <c:pt idx="79">
                  <c:v>3624</c:v>
                </c:pt>
                <c:pt idx="80">
                  <c:v>2929</c:v>
                </c:pt>
              </c:numCache>
            </c:numRef>
          </c:val>
          <c:extLst>
            <c:ext xmlns:c16="http://schemas.microsoft.com/office/drawing/2014/chart" uri="{C3380CC4-5D6E-409C-BE32-E72D297353CC}">
              <c16:uniqueId val="{00000000-896C-4675-8B26-1907996B31F7}"/>
            </c:ext>
          </c:extLst>
        </c:ser>
        <c:dLbls>
          <c:showLegendKey val="0"/>
          <c:showVal val="0"/>
          <c:showCatName val="0"/>
          <c:showSerName val="0"/>
          <c:showPercent val="0"/>
          <c:showBubbleSize val="0"/>
        </c:dLbls>
        <c:gapWidth val="219"/>
        <c:overlap val="-27"/>
        <c:axId val="1876682128"/>
        <c:axId val="1876682608"/>
      </c:barChart>
      <c:lineChart>
        <c:grouping val="standard"/>
        <c:varyColors val="0"/>
        <c:ser>
          <c:idx val="1"/>
          <c:order val="1"/>
          <c:tx>
            <c:strRef>
              <c:f>PGE!$E$3</c:f>
              <c:strCache>
                <c:ptCount val="1"/>
                <c:pt idx="0">
                  <c:v> Bill Amount </c:v>
                </c:pt>
              </c:strCache>
            </c:strRef>
          </c:tx>
          <c:spPr>
            <a:ln w="28575" cap="rnd">
              <a:solidFill>
                <a:srgbClr val="FF0000"/>
              </a:solidFill>
              <a:round/>
            </a:ln>
            <a:effectLst/>
          </c:spPr>
          <c:marker>
            <c:symbol val="none"/>
          </c:marker>
          <c:cat>
            <c:numRef>
              <c:f>PGE!$B$4:$B$90</c:f>
              <c:numCache>
                <c:formatCode>[$-409]mmm\-yy;@</c:formatCode>
                <c:ptCount val="87"/>
                <c:pt idx="0">
                  <c:v>43770</c:v>
                </c:pt>
                <c:pt idx="1">
                  <c:v>43800</c:v>
                </c:pt>
                <c:pt idx="2">
                  <c:v>43831</c:v>
                </c:pt>
                <c:pt idx="3">
                  <c:v>43862</c:v>
                </c:pt>
                <c:pt idx="4">
                  <c:v>43891</c:v>
                </c:pt>
                <c:pt idx="5">
                  <c:v>43922</c:v>
                </c:pt>
                <c:pt idx="6">
                  <c:v>43952</c:v>
                </c:pt>
                <c:pt idx="7">
                  <c:v>43983</c:v>
                </c:pt>
                <c:pt idx="8">
                  <c:v>44013</c:v>
                </c:pt>
                <c:pt idx="9">
                  <c:v>44044</c:v>
                </c:pt>
                <c:pt idx="10">
                  <c:v>44075</c:v>
                </c:pt>
                <c:pt idx="11">
                  <c:v>44105</c:v>
                </c:pt>
                <c:pt idx="12">
                  <c:v>44136</c:v>
                </c:pt>
                <c:pt idx="13">
                  <c:v>44166</c:v>
                </c:pt>
                <c:pt idx="14">
                  <c:v>44197</c:v>
                </c:pt>
                <c:pt idx="15">
                  <c:v>44228</c:v>
                </c:pt>
                <c:pt idx="16">
                  <c:v>44256</c:v>
                </c:pt>
                <c:pt idx="17">
                  <c:v>44287</c:v>
                </c:pt>
                <c:pt idx="18">
                  <c:v>44317</c:v>
                </c:pt>
                <c:pt idx="19">
                  <c:v>44348</c:v>
                </c:pt>
                <c:pt idx="20">
                  <c:v>44378</c:v>
                </c:pt>
                <c:pt idx="21">
                  <c:v>44409</c:v>
                </c:pt>
                <c:pt idx="22">
                  <c:v>44440</c:v>
                </c:pt>
                <c:pt idx="23">
                  <c:v>44470</c:v>
                </c:pt>
                <c:pt idx="24">
                  <c:v>44501</c:v>
                </c:pt>
                <c:pt idx="25">
                  <c:v>44531</c:v>
                </c:pt>
                <c:pt idx="26">
                  <c:v>44562</c:v>
                </c:pt>
                <c:pt idx="27">
                  <c:v>44593</c:v>
                </c:pt>
                <c:pt idx="28">
                  <c:v>44621</c:v>
                </c:pt>
                <c:pt idx="29">
                  <c:v>44652</c:v>
                </c:pt>
                <c:pt idx="30">
                  <c:v>44682</c:v>
                </c:pt>
                <c:pt idx="31">
                  <c:v>44713</c:v>
                </c:pt>
                <c:pt idx="32">
                  <c:v>44743</c:v>
                </c:pt>
                <c:pt idx="33">
                  <c:v>44774</c:v>
                </c:pt>
                <c:pt idx="34">
                  <c:v>44805</c:v>
                </c:pt>
                <c:pt idx="35">
                  <c:v>44835</c:v>
                </c:pt>
                <c:pt idx="36">
                  <c:v>44866</c:v>
                </c:pt>
                <c:pt idx="37">
                  <c:v>44896</c:v>
                </c:pt>
                <c:pt idx="38">
                  <c:v>44927</c:v>
                </c:pt>
                <c:pt idx="39">
                  <c:v>44958</c:v>
                </c:pt>
                <c:pt idx="40">
                  <c:v>44986</c:v>
                </c:pt>
                <c:pt idx="41" formatCode="mmm\-yy">
                  <c:v>45017</c:v>
                </c:pt>
                <c:pt idx="42">
                  <c:v>45047</c:v>
                </c:pt>
                <c:pt idx="43" formatCode="mmm\-yy">
                  <c:v>45078</c:v>
                </c:pt>
                <c:pt idx="44" formatCode="mmm\-yy">
                  <c:v>45108</c:v>
                </c:pt>
                <c:pt idx="45" formatCode="mmm\-yy">
                  <c:v>45139</c:v>
                </c:pt>
                <c:pt idx="46" formatCode="mmm\-yy">
                  <c:v>45170</c:v>
                </c:pt>
                <c:pt idx="47" formatCode="mmm\-yy">
                  <c:v>45200</c:v>
                </c:pt>
                <c:pt idx="48" formatCode="mmm\-yy">
                  <c:v>45231</c:v>
                </c:pt>
                <c:pt idx="49" formatCode="mmm\-yy">
                  <c:v>45261</c:v>
                </c:pt>
                <c:pt idx="50" formatCode="mmm\-yy">
                  <c:v>45292</c:v>
                </c:pt>
                <c:pt idx="51" formatCode="mmm\-yy">
                  <c:v>45323</c:v>
                </c:pt>
                <c:pt idx="52" formatCode="mmm\-yy">
                  <c:v>45352</c:v>
                </c:pt>
                <c:pt idx="53" formatCode="mmm\-yy">
                  <c:v>45383</c:v>
                </c:pt>
                <c:pt idx="54" formatCode="mmm\-yy">
                  <c:v>45413</c:v>
                </c:pt>
                <c:pt idx="55" formatCode="mmm\-yy">
                  <c:v>45444</c:v>
                </c:pt>
                <c:pt idx="56" formatCode="mmm\-yy">
                  <c:v>45474</c:v>
                </c:pt>
                <c:pt idx="57" formatCode="mmm\-yy">
                  <c:v>45505</c:v>
                </c:pt>
                <c:pt idx="58" formatCode="mmm\-yy">
                  <c:v>45536</c:v>
                </c:pt>
                <c:pt idx="59" formatCode="mmm\-yy">
                  <c:v>45566</c:v>
                </c:pt>
                <c:pt idx="60" formatCode="mmm\-yy">
                  <c:v>45566</c:v>
                </c:pt>
                <c:pt idx="61" formatCode="mmm\-yy">
                  <c:v>45985</c:v>
                </c:pt>
                <c:pt idx="62" formatCode="mmm\-yy">
                  <c:v>45597</c:v>
                </c:pt>
                <c:pt idx="63" formatCode="mmm\-yy">
                  <c:v>45627</c:v>
                </c:pt>
                <c:pt idx="64" formatCode="mmm\-yy">
                  <c:v>45627</c:v>
                </c:pt>
                <c:pt idx="65" formatCode="mmm\-yy">
                  <c:v>45658</c:v>
                </c:pt>
                <c:pt idx="66" formatCode="mmm\-yy">
                  <c:v>45658</c:v>
                </c:pt>
                <c:pt idx="67" formatCode="mmm\-yy">
                  <c:v>45713</c:v>
                </c:pt>
                <c:pt idx="68" formatCode="mmm\-yy">
                  <c:v>45713</c:v>
                </c:pt>
                <c:pt idx="69" formatCode="mmm\-yy">
                  <c:v>45741</c:v>
                </c:pt>
                <c:pt idx="70" formatCode="mmm\-yy">
                  <c:v>45741</c:v>
                </c:pt>
                <c:pt idx="71" formatCode="mmm\-yy">
                  <c:v>45748</c:v>
                </c:pt>
                <c:pt idx="72" formatCode="mmm\-yy">
                  <c:v>45748</c:v>
                </c:pt>
                <c:pt idx="73" formatCode="mmm\-yy">
                  <c:v>45778</c:v>
                </c:pt>
                <c:pt idx="74" formatCode="mmm\-yy">
                  <c:v>45778</c:v>
                </c:pt>
                <c:pt idx="75" formatCode="mmm\-yy">
                  <c:v>45809</c:v>
                </c:pt>
                <c:pt idx="76" formatCode="mmm\-yy">
                  <c:v>45809</c:v>
                </c:pt>
                <c:pt idx="77" formatCode="mmm\-yy">
                  <c:v>45839</c:v>
                </c:pt>
                <c:pt idx="78" formatCode="mmm\-yy">
                  <c:v>45870</c:v>
                </c:pt>
                <c:pt idx="79" formatCode="mmm\-yy">
                  <c:v>45901</c:v>
                </c:pt>
                <c:pt idx="80" formatCode="mmm\-yy">
                  <c:v>45931</c:v>
                </c:pt>
              </c:numCache>
            </c:numRef>
          </c:cat>
          <c:val>
            <c:numRef>
              <c:f>PGE!$E$4:$E$92</c:f>
              <c:numCache>
                <c:formatCode>_("$"* #,##0.00_);_("$"* \(#,##0.00\);_("$"* "-"??_);_(@_)</c:formatCode>
                <c:ptCount val="89"/>
                <c:pt idx="0">
                  <c:v>192.5</c:v>
                </c:pt>
                <c:pt idx="1">
                  <c:v>192.5</c:v>
                </c:pt>
                <c:pt idx="2">
                  <c:v>223.39</c:v>
                </c:pt>
                <c:pt idx="3">
                  <c:v>209.47</c:v>
                </c:pt>
                <c:pt idx="4">
                  <c:v>212.74</c:v>
                </c:pt>
                <c:pt idx="5">
                  <c:v>316.49</c:v>
                </c:pt>
                <c:pt idx="6">
                  <c:v>243.23</c:v>
                </c:pt>
                <c:pt idx="7">
                  <c:v>303.83999999999997</c:v>
                </c:pt>
                <c:pt idx="8">
                  <c:v>315.37</c:v>
                </c:pt>
                <c:pt idx="9">
                  <c:v>422.96</c:v>
                </c:pt>
                <c:pt idx="10">
                  <c:v>433.36</c:v>
                </c:pt>
                <c:pt idx="11">
                  <c:v>425.4</c:v>
                </c:pt>
                <c:pt idx="12">
                  <c:v>269.13</c:v>
                </c:pt>
                <c:pt idx="13">
                  <c:v>283.55</c:v>
                </c:pt>
                <c:pt idx="14">
                  <c:v>246.52</c:v>
                </c:pt>
                <c:pt idx="15">
                  <c:v>222.42</c:v>
                </c:pt>
                <c:pt idx="16">
                  <c:v>148.06</c:v>
                </c:pt>
                <c:pt idx="17">
                  <c:v>216.3</c:v>
                </c:pt>
                <c:pt idx="18">
                  <c:v>255.63</c:v>
                </c:pt>
                <c:pt idx="19">
                  <c:v>412.55</c:v>
                </c:pt>
                <c:pt idx="20">
                  <c:v>447.5</c:v>
                </c:pt>
                <c:pt idx="21">
                  <c:v>478.64</c:v>
                </c:pt>
                <c:pt idx="22">
                  <c:v>502.1</c:v>
                </c:pt>
                <c:pt idx="23">
                  <c:v>399.86</c:v>
                </c:pt>
                <c:pt idx="24">
                  <c:v>265.64</c:v>
                </c:pt>
                <c:pt idx="25">
                  <c:v>326</c:v>
                </c:pt>
                <c:pt idx="26">
                  <c:v>303.58999999999997</c:v>
                </c:pt>
                <c:pt idx="27">
                  <c:v>272.7</c:v>
                </c:pt>
                <c:pt idx="28">
                  <c:v>262.37</c:v>
                </c:pt>
                <c:pt idx="29">
                  <c:v>278.5</c:v>
                </c:pt>
                <c:pt idx="30">
                  <c:v>210.66</c:v>
                </c:pt>
                <c:pt idx="31">
                  <c:v>300.57</c:v>
                </c:pt>
                <c:pt idx="32">
                  <c:v>354.98</c:v>
                </c:pt>
                <c:pt idx="33">
                  <c:v>518.12</c:v>
                </c:pt>
                <c:pt idx="34">
                  <c:v>542.24</c:v>
                </c:pt>
                <c:pt idx="35">
                  <c:v>494.21</c:v>
                </c:pt>
                <c:pt idx="36">
                  <c:v>338.23</c:v>
                </c:pt>
                <c:pt idx="37">
                  <c:v>328.72</c:v>
                </c:pt>
                <c:pt idx="38">
                  <c:v>341.22</c:v>
                </c:pt>
                <c:pt idx="39">
                  <c:v>397.55</c:v>
                </c:pt>
                <c:pt idx="40">
                  <c:v>358.83</c:v>
                </c:pt>
                <c:pt idx="41">
                  <c:v>354.93</c:v>
                </c:pt>
                <c:pt idx="42">
                  <c:v>361.64</c:v>
                </c:pt>
                <c:pt idx="43">
                  <c:v>606.75</c:v>
                </c:pt>
                <c:pt idx="44">
                  <c:v>648.03</c:v>
                </c:pt>
                <c:pt idx="45">
                  <c:v>694.29</c:v>
                </c:pt>
                <c:pt idx="46">
                  <c:v>732.61</c:v>
                </c:pt>
                <c:pt idx="47">
                  <c:v>457.12</c:v>
                </c:pt>
                <c:pt idx="48">
                  <c:v>307.27</c:v>
                </c:pt>
                <c:pt idx="49">
                  <c:v>366.84</c:v>
                </c:pt>
                <c:pt idx="50">
                  <c:v>409.96</c:v>
                </c:pt>
                <c:pt idx="51">
                  <c:v>429.56</c:v>
                </c:pt>
                <c:pt idx="52">
                  <c:v>385.78</c:v>
                </c:pt>
                <c:pt idx="53">
                  <c:v>379.43</c:v>
                </c:pt>
                <c:pt idx="54">
                  <c:v>400.94</c:v>
                </c:pt>
                <c:pt idx="55">
                  <c:v>418.83</c:v>
                </c:pt>
                <c:pt idx="56">
                  <c:v>537.1</c:v>
                </c:pt>
                <c:pt idx="57">
                  <c:v>619.65</c:v>
                </c:pt>
                <c:pt idx="58">
                  <c:v>604.34</c:v>
                </c:pt>
                <c:pt idx="60">
                  <c:v>564.9</c:v>
                </c:pt>
                <c:pt idx="62">
                  <c:v>399.39</c:v>
                </c:pt>
                <c:pt idx="64">
                  <c:v>428.73</c:v>
                </c:pt>
                <c:pt idx="66">
                  <c:v>465.24</c:v>
                </c:pt>
                <c:pt idx="68">
                  <c:v>467.81</c:v>
                </c:pt>
                <c:pt idx="69">
                  <c:v>394.19</c:v>
                </c:pt>
                <c:pt idx="71">
                  <c:v>445.42</c:v>
                </c:pt>
                <c:pt idx="73">
                  <c:v>474.05</c:v>
                </c:pt>
                <c:pt idx="75">
                  <c:v>550.19000000000005</c:v>
                </c:pt>
                <c:pt idx="77">
                  <c:v>702.61</c:v>
                </c:pt>
                <c:pt idx="78">
                  <c:v>874.4</c:v>
                </c:pt>
                <c:pt idx="79">
                  <c:v>664.98</c:v>
                </c:pt>
                <c:pt idx="80">
                  <c:v>545.39</c:v>
                </c:pt>
              </c:numCache>
            </c:numRef>
          </c:val>
          <c:smooth val="0"/>
          <c:extLst>
            <c:ext xmlns:c16="http://schemas.microsoft.com/office/drawing/2014/chart" uri="{C3380CC4-5D6E-409C-BE32-E72D297353CC}">
              <c16:uniqueId val="{00000001-896C-4675-8B26-1907996B31F7}"/>
            </c:ext>
          </c:extLst>
        </c:ser>
        <c:dLbls>
          <c:showLegendKey val="0"/>
          <c:showVal val="0"/>
          <c:showCatName val="0"/>
          <c:showSerName val="0"/>
          <c:showPercent val="0"/>
          <c:showBubbleSize val="0"/>
        </c:dLbls>
        <c:marker val="1"/>
        <c:smooth val="0"/>
        <c:axId val="1876688848"/>
        <c:axId val="1876683568"/>
      </c:lineChart>
      <c:dateAx>
        <c:axId val="1876682128"/>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876682608"/>
        <c:crosses val="autoZero"/>
        <c:auto val="1"/>
        <c:lblOffset val="100"/>
        <c:baseTimeUnit val="months"/>
      </c:dateAx>
      <c:valAx>
        <c:axId val="187668260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6682128"/>
        <c:crosses val="autoZero"/>
        <c:crossBetween val="between"/>
      </c:valAx>
      <c:valAx>
        <c:axId val="1876683568"/>
        <c:scaling>
          <c:orientation val="minMax"/>
        </c:scaling>
        <c:delete val="0"/>
        <c:axPos val="r"/>
        <c:numFmt formatCode="_(&quot;$&quot;* #,##0.00_);_(&quot;$&quot;* \(#,##0.00\);_(&quot;$&quot;*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6688848"/>
        <c:crosses val="max"/>
        <c:crossBetween val="between"/>
      </c:valAx>
      <c:dateAx>
        <c:axId val="1876688848"/>
        <c:scaling>
          <c:orientation val="minMax"/>
        </c:scaling>
        <c:delete val="1"/>
        <c:axPos val="b"/>
        <c:numFmt formatCode="[$-409]mmm\-yy;@" sourceLinked="1"/>
        <c:majorTickMark val="out"/>
        <c:minorTickMark val="none"/>
        <c:tickLblPos val="nextTo"/>
        <c:crossAx val="1876683568"/>
        <c:crosses val="autoZero"/>
        <c:auto val="1"/>
        <c:lblOffset val="100"/>
        <c:baseTimeUnit val="days"/>
      </c:dateAx>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0.33397833346018663"/>
          <c:y val="0.94458506066275372"/>
          <c:w val="0.3320431379207382"/>
          <c:h val="4.954319442803772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Water Usage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209302910551104"/>
          <c:y val="0.11562648334484686"/>
          <c:w val="0.78848339637967868"/>
          <c:h val="0.65699580034144389"/>
        </c:manualLayout>
      </c:layout>
      <c:barChart>
        <c:barDir val="col"/>
        <c:grouping val="clustered"/>
        <c:varyColors val="0"/>
        <c:ser>
          <c:idx val="0"/>
          <c:order val="0"/>
          <c:tx>
            <c:strRef>
              <c:f>PGE!$P$3</c:f>
              <c:strCache>
                <c:ptCount val="1"/>
                <c:pt idx="0">
                  <c:v>Gallons Used</c:v>
                </c:pt>
              </c:strCache>
            </c:strRef>
          </c:tx>
          <c:spPr>
            <a:solidFill>
              <a:srgbClr val="9966FF"/>
            </a:solidFill>
            <a:ln>
              <a:noFill/>
            </a:ln>
            <a:effectLst/>
          </c:spPr>
          <c:invertIfNegative val="0"/>
          <c:cat>
            <c:numRef>
              <c:f>PGE!$B$4:$B$90</c:f>
              <c:numCache>
                <c:formatCode>[$-409]mmm\-yy;@</c:formatCode>
                <c:ptCount val="87"/>
                <c:pt idx="0">
                  <c:v>43770</c:v>
                </c:pt>
                <c:pt idx="1">
                  <c:v>43800</c:v>
                </c:pt>
                <c:pt idx="2">
                  <c:v>43831</c:v>
                </c:pt>
                <c:pt idx="3">
                  <c:v>43862</c:v>
                </c:pt>
                <c:pt idx="4">
                  <c:v>43891</c:v>
                </c:pt>
                <c:pt idx="5">
                  <c:v>43922</c:v>
                </c:pt>
                <c:pt idx="6">
                  <c:v>43952</c:v>
                </c:pt>
                <c:pt idx="7">
                  <c:v>43983</c:v>
                </c:pt>
                <c:pt idx="8">
                  <c:v>44013</c:v>
                </c:pt>
                <c:pt idx="9">
                  <c:v>44044</c:v>
                </c:pt>
                <c:pt idx="10">
                  <c:v>44075</c:v>
                </c:pt>
                <c:pt idx="11">
                  <c:v>44105</c:v>
                </c:pt>
                <c:pt idx="12">
                  <c:v>44136</c:v>
                </c:pt>
                <c:pt idx="13">
                  <c:v>44166</c:v>
                </c:pt>
                <c:pt idx="14">
                  <c:v>44197</c:v>
                </c:pt>
                <c:pt idx="15">
                  <c:v>44228</c:v>
                </c:pt>
                <c:pt idx="16">
                  <c:v>44256</c:v>
                </c:pt>
                <c:pt idx="17">
                  <c:v>44287</c:v>
                </c:pt>
                <c:pt idx="18">
                  <c:v>44317</c:v>
                </c:pt>
                <c:pt idx="19">
                  <c:v>44348</c:v>
                </c:pt>
                <c:pt idx="20">
                  <c:v>44378</c:v>
                </c:pt>
                <c:pt idx="21">
                  <c:v>44409</c:v>
                </c:pt>
                <c:pt idx="22">
                  <c:v>44440</c:v>
                </c:pt>
                <c:pt idx="23">
                  <c:v>44470</c:v>
                </c:pt>
                <c:pt idx="24">
                  <c:v>44501</c:v>
                </c:pt>
                <c:pt idx="25">
                  <c:v>44531</c:v>
                </c:pt>
                <c:pt idx="26">
                  <c:v>44562</c:v>
                </c:pt>
                <c:pt idx="27">
                  <c:v>44593</c:v>
                </c:pt>
                <c:pt idx="28">
                  <c:v>44621</c:v>
                </c:pt>
                <c:pt idx="29">
                  <c:v>44652</c:v>
                </c:pt>
                <c:pt idx="30">
                  <c:v>44682</c:v>
                </c:pt>
                <c:pt idx="31">
                  <c:v>44713</c:v>
                </c:pt>
                <c:pt idx="32">
                  <c:v>44743</c:v>
                </c:pt>
                <c:pt idx="33">
                  <c:v>44774</c:v>
                </c:pt>
                <c:pt idx="34">
                  <c:v>44805</c:v>
                </c:pt>
                <c:pt idx="35">
                  <c:v>44835</c:v>
                </c:pt>
                <c:pt idx="36">
                  <c:v>44866</c:v>
                </c:pt>
                <c:pt idx="37">
                  <c:v>44896</c:v>
                </c:pt>
                <c:pt idx="38">
                  <c:v>44927</c:v>
                </c:pt>
                <c:pt idx="39">
                  <c:v>44958</c:v>
                </c:pt>
                <c:pt idx="40">
                  <c:v>44986</c:v>
                </c:pt>
                <c:pt idx="41" formatCode="mmm\-yy">
                  <c:v>45017</c:v>
                </c:pt>
                <c:pt idx="42">
                  <c:v>45047</c:v>
                </c:pt>
                <c:pt idx="43" formatCode="mmm\-yy">
                  <c:v>45078</c:v>
                </c:pt>
                <c:pt idx="44" formatCode="mmm\-yy">
                  <c:v>45108</c:v>
                </c:pt>
                <c:pt idx="45" formatCode="mmm\-yy">
                  <c:v>45139</c:v>
                </c:pt>
                <c:pt idx="46" formatCode="mmm\-yy">
                  <c:v>45170</c:v>
                </c:pt>
                <c:pt idx="47" formatCode="mmm\-yy">
                  <c:v>45200</c:v>
                </c:pt>
                <c:pt idx="48" formatCode="mmm\-yy">
                  <c:v>45231</c:v>
                </c:pt>
                <c:pt idx="49" formatCode="mmm\-yy">
                  <c:v>45261</c:v>
                </c:pt>
                <c:pt idx="50" formatCode="mmm\-yy">
                  <c:v>45292</c:v>
                </c:pt>
                <c:pt idx="51" formatCode="mmm\-yy">
                  <c:v>45323</c:v>
                </c:pt>
                <c:pt idx="52" formatCode="mmm\-yy">
                  <c:v>45352</c:v>
                </c:pt>
                <c:pt idx="53" formatCode="mmm\-yy">
                  <c:v>45383</c:v>
                </c:pt>
                <c:pt idx="54" formatCode="mmm\-yy">
                  <c:v>45413</c:v>
                </c:pt>
                <c:pt idx="55" formatCode="mmm\-yy">
                  <c:v>45444</c:v>
                </c:pt>
                <c:pt idx="56" formatCode="mmm\-yy">
                  <c:v>45474</c:v>
                </c:pt>
                <c:pt idx="57" formatCode="mmm\-yy">
                  <c:v>45505</c:v>
                </c:pt>
                <c:pt idx="58" formatCode="mmm\-yy">
                  <c:v>45536</c:v>
                </c:pt>
                <c:pt idx="59" formatCode="mmm\-yy">
                  <c:v>45566</c:v>
                </c:pt>
                <c:pt idx="60" formatCode="mmm\-yy">
                  <c:v>45566</c:v>
                </c:pt>
                <c:pt idx="61" formatCode="mmm\-yy">
                  <c:v>45985</c:v>
                </c:pt>
                <c:pt idx="62" formatCode="mmm\-yy">
                  <c:v>45597</c:v>
                </c:pt>
                <c:pt idx="63" formatCode="mmm\-yy">
                  <c:v>45627</c:v>
                </c:pt>
                <c:pt idx="64" formatCode="mmm\-yy">
                  <c:v>45627</c:v>
                </c:pt>
                <c:pt idx="65" formatCode="mmm\-yy">
                  <c:v>45658</c:v>
                </c:pt>
                <c:pt idx="66" formatCode="mmm\-yy">
                  <c:v>45658</c:v>
                </c:pt>
                <c:pt idx="67" formatCode="mmm\-yy">
                  <c:v>45713</c:v>
                </c:pt>
                <c:pt idx="68" formatCode="mmm\-yy">
                  <c:v>45713</c:v>
                </c:pt>
                <c:pt idx="69" formatCode="mmm\-yy">
                  <c:v>45741</c:v>
                </c:pt>
                <c:pt idx="70" formatCode="mmm\-yy">
                  <c:v>45741</c:v>
                </c:pt>
                <c:pt idx="71" formatCode="mmm\-yy">
                  <c:v>45748</c:v>
                </c:pt>
                <c:pt idx="72" formatCode="mmm\-yy">
                  <c:v>45748</c:v>
                </c:pt>
                <c:pt idx="73" formatCode="mmm\-yy">
                  <c:v>45778</c:v>
                </c:pt>
                <c:pt idx="74" formatCode="mmm\-yy">
                  <c:v>45778</c:v>
                </c:pt>
                <c:pt idx="75" formatCode="mmm\-yy">
                  <c:v>45809</c:v>
                </c:pt>
                <c:pt idx="76" formatCode="mmm\-yy">
                  <c:v>45809</c:v>
                </c:pt>
                <c:pt idx="77" formatCode="mmm\-yy">
                  <c:v>45839</c:v>
                </c:pt>
                <c:pt idx="78" formatCode="mmm\-yy">
                  <c:v>45870</c:v>
                </c:pt>
                <c:pt idx="79" formatCode="mmm\-yy">
                  <c:v>45901</c:v>
                </c:pt>
                <c:pt idx="80" formatCode="mmm\-yy">
                  <c:v>45931</c:v>
                </c:pt>
              </c:numCache>
            </c:numRef>
          </c:cat>
          <c:val>
            <c:numRef>
              <c:f>PGE!$P$4:$P$58</c:f>
              <c:numCache>
                <c:formatCode>_(* #,##0_);_(* \(#,##0\);_(* "-"??_);_(@_)</c:formatCode>
                <c:ptCount val="55"/>
                <c:pt idx="0">
                  <c:v>1424194</c:v>
                </c:pt>
                <c:pt idx="1">
                  <c:v>774713</c:v>
                </c:pt>
                <c:pt idx="2">
                  <c:v>878921</c:v>
                </c:pt>
                <c:pt idx="3">
                  <c:v>786928</c:v>
                </c:pt>
                <c:pt idx="4">
                  <c:v>824703</c:v>
                </c:pt>
                <c:pt idx="5">
                  <c:v>1182520</c:v>
                </c:pt>
                <c:pt idx="6">
                  <c:v>1344438</c:v>
                </c:pt>
                <c:pt idx="7">
                  <c:v>2742646</c:v>
                </c:pt>
                <c:pt idx="8">
                  <c:v>3415827</c:v>
                </c:pt>
                <c:pt idx="9">
                  <c:v>3386077</c:v>
                </c:pt>
                <c:pt idx="10">
                  <c:v>3696053</c:v>
                </c:pt>
                <c:pt idx="11">
                  <c:v>1796233</c:v>
                </c:pt>
                <c:pt idx="12">
                  <c:v>942224</c:v>
                </c:pt>
                <c:pt idx="13">
                  <c:v>1066429</c:v>
                </c:pt>
                <c:pt idx="14">
                  <c:v>1422023</c:v>
                </c:pt>
                <c:pt idx="15">
                  <c:v>1451760</c:v>
                </c:pt>
                <c:pt idx="16">
                  <c:v>1467665</c:v>
                </c:pt>
                <c:pt idx="17">
                  <c:v>1692446</c:v>
                </c:pt>
                <c:pt idx="18">
                  <c:v>1804026</c:v>
                </c:pt>
                <c:pt idx="19">
                  <c:v>1906122</c:v>
                </c:pt>
                <c:pt idx="20">
                  <c:v>2050291</c:v>
                </c:pt>
                <c:pt idx="21">
                  <c:v>3600927</c:v>
                </c:pt>
                <c:pt idx="22">
                  <c:v>3651064</c:v>
                </c:pt>
                <c:pt idx="23">
                  <c:v>2802587</c:v>
                </c:pt>
                <c:pt idx="24">
                  <c:v>1083532</c:v>
                </c:pt>
                <c:pt idx="25">
                  <c:v>872158</c:v>
                </c:pt>
                <c:pt idx="26">
                  <c:v>997969</c:v>
                </c:pt>
                <c:pt idx="27">
                  <c:v>966286</c:v>
                </c:pt>
                <c:pt idx="28">
                  <c:v>958637</c:v>
                </c:pt>
                <c:pt idx="29">
                  <c:v>1131197</c:v>
                </c:pt>
                <c:pt idx="30">
                  <c:v>1338919</c:v>
                </c:pt>
                <c:pt idx="31">
                  <c:v>2170655</c:v>
                </c:pt>
                <c:pt idx="32">
                  <c:v>3018857</c:v>
                </c:pt>
                <c:pt idx="33">
                  <c:v>3859408</c:v>
                </c:pt>
                <c:pt idx="34">
                  <c:v>3851706</c:v>
                </c:pt>
                <c:pt idx="35">
                  <c:v>2874341</c:v>
                </c:pt>
                <c:pt idx="36">
                  <c:v>1723900</c:v>
                </c:pt>
                <c:pt idx="37">
                  <c:v>1068900</c:v>
                </c:pt>
                <c:pt idx="38">
                  <c:v>1195900</c:v>
                </c:pt>
                <c:pt idx="39">
                  <c:v>1339000</c:v>
                </c:pt>
                <c:pt idx="40">
                  <c:v>1161995</c:v>
                </c:pt>
                <c:pt idx="41">
                  <c:v>1284366</c:v>
                </c:pt>
                <c:pt idx="42">
                  <c:v>1206811</c:v>
                </c:pt>
                <c:pt idx="43">
                  <c:v>2162088</c:v>
                </c:pt>
                <c:pt idx="44">
                  <c:v>3061637</c:v>
                </c:pt>
                <c:pt idx="45">
                  <c:v>4009490</c:v>
                </c:pt>
                <c:pt idx="46">
                  <c:v>3720263</c:v>
                </c:pt>
                <c:pt idx="47">
                  <c:v>2306867</c:v>
                </c:pt>
                <c:pt idx="48">
                  <c:v>988824</c:v>
                </c:pt>
                <c:pt idx="49">
                  <c:v>942245</c:v>
                </c:pt>
                <c:pt idx="50">
                  <c:v>1201123</c:v>
                </c:pt>
                <c:pt idx="51">
                  <c:v>1334558</c:v>
                </c:pt>
                <c:pt idx="52">
                  <c:v>1105843</c:v>
                </c:pt>
                <c:pt idx="53">
                  <c:v>1154157</c:v>
                </c:pt>
                <c:pt idx="54">
                  <c:v>1589712</c:v>
                </c:pt>
              </c:numCache>
            </c:numRef>
          </c:val>
          <c:extLst>
            <c:ext xmlns:c16="http://schemas.microsoft.com/office/drawing/2014/chart" uri="{C3380CC4-5D6E-409C-BE32-E72D297353CC}">
              <c16:uniqueId val="{00000000-6620-44DD-BAD9-4A4653359BC7}"/>
            </c:ext>
          </c:extLst>
        </c:ser>
        <c:dLbls>
          <c:showLegendKey val="0"/>
          <c:showVal val="0"/>
          <c:showCatName val="0"/>
          <c:showSerName val="0"/>
          <c:showPercent val="0"/>
          <c:showBubbleSize val="0"/>
        </c:dLbls>
        <c:gapWidth val="219"/>
        <c:overlap val="-27"/>
        <c:axId val="885244736"/>
        <c:axId val="862188656"/>
      </c:barChart>
      <c:lineChart>
        <c:grouping val="standard"/>
        <c:varyColors val="0"/>
        <c:ser>
          <c:idx val="1"/>
          <c:order val="1"/>
          <c:tx>
            <c:strRef>
              <c:f>PGE!$Q$3</c:f>
              <c:strCache>
                <c:ptCount val="1"/>
                <c:pt idx="0">
                  <c:v>Gallons per kWh</c:v>
                </c:pt>
              </c:strCache>
            </c:strRef>
          </c:tx>
          <c:spPr>
            <a:ln w="28575" cap="rnd">
              <a:solidFill>
                <a:srgbClr val="33CC33"/>
              </a:solidFill>
              <a:round/>
            </a:ln>
            <a:effectLst/>
          </c:spPr>
          <c:marker>
            <c:symbol val="none"/>
          </c:marker>
          <c:cat>
            <c:numRef>
              <c:f>PGE!$B$4:$B$90</c:f>
              <c:numCache>
                <c:formatCode>[$-409]mmm\-yy;@</c:formatCode>
                <c:ptCount val="87"/>
                <c:pt idx="0">
                  <c:v>43770</c:v>
                </c:pt>
                <c:pt idx="1">
                  <c:v>43800</c:v>
                </c:pt>
                <c:pt idx="2">
                  <c:v>43831</c:v>
                </c:pt>
                <c:pt idx="3">
                  <c:v>43862</c:v>
                </c:pt>
                <c:pt idx="4">
                  <c:v>43891</c:v>
                </c:pt>
                <c:pt idx="5">
                  <c:v>43922</c:v>
                </c:pt>
                <c:pt idx="6">
                  <c:v>43952</c:v>
                </c:pt>
                <c:pt idx="7">
                  <c:v>43983</c:v>
                </c:pt>
                <c:pt idx="8">
                  <c:v>44013</c:v>
                </c:pt>
                <c:pt idx="9">
                  <c:v>44044</c:v>
                </c:pt>
                <c:pt idx="10">
                  <c:v>44075</c:v>
                </c:pt>
                <c:pt idx="11">
                  <c:v>44105</c:v>
                </c:pt>
                <c:pt idx="12">
                  <c:v>44136</c:v>
                </c:pt>
                <c:pt idx="13">
                  <c:v>44166</c:v>
                </c:pt>
                <c:pt idx="14">
                  <c:v>44197</c:v>
                </c:pt>
                <c:pt idx="15">
                  <c:v>44228</c:v>
                </c:pt>
                <c:pt idx="16">
                  <c:v>44256</c:v>
                </c:pt>
                <c:pt idx="17">
                  <c:v>44287</c:v>
                </c:pt>
                <c:pt idx="18">
                  <c:v>44317</c:v>
                </c:pt>
                <c:pt idx="19">
                  <c:v>44348</c:v>
                </c:pt>
                <c:pt idx="20">
                  <c:v>44378</c:v>
                </c:pt>
                <c:pt idx="21">
                  <c:v>44409</c:v>
                </c:pt>
                <c:pt idx="22">
                  <c:v>44440</c:v>
                </c:pt>
                <c:pt idx="23">
                  <c:v>44470</c:v>
                </c:pt>
                <c:pt idx="24">
                  <c:v>44501</c:v>
                </c:pt>
                <c:pt idx="25">
                  <c:v>44531</c:v>
                </c:pt>
                <c:pt idx="26">
                  <c:v>44562</c:v>
                </c:pt>
                <c:pt idx="27">
                  <c:v>44593</c:v>
                </c:pt>
                <c:pt idx="28">
                  <c:v>44621</c:v>
                </c:pt>
                <c:pt idx="29">
                  <c:v>44652</c:v>
                </c:pt>
                <c:pt idx="30">
                  <c:v>44682</c:v>
                </c:pt>
                <c:pt idx="31">
                  <c:v>44713</c:v>
                </c:pt>
                <c:pt idx="32">
                  <c:v>44743</c:v>
                </c:pt>
                <c:pt idx="33">
                  <c:v>44774</c:v>
                </c:pt>
                <c:pt idx="34">
                  <c:v>44805</c:v>
                </c:pt>
                <c:pt idx="35">
                  <c:v>44835</c:v>
                </c:pt>
                <c:pt idx="36">
                  <c:v>44866</c:v>
                </c:pt>
                <c:pt idx="37">
                  <c:v>44896</c:v>
                </c:pt>
                <c:pt idx="38">
                  <c:v>44927</c:v>
                </c:pt>
                <c:pt idx="39">
                  <c:v>44958</c:v>
                </c:pt>
                <c:pt idx="40">
                  <c:v>44986</c:v>
                </c:pt>
                <c:pt idx="41" formatCode="mmm\-yy">
                  <c:v>45017</c:v>
                </c:pt>
                <c:pt idx="42">
                  <c:v>45047</c:v>
                </c:pt>
                <c:pt idx="43" formatCode="mmm\-yy">
                  <c:v>45078</c:v>
                </c:pt>
                <c:pt idx="44" formatCode="mmm\-yy">
                  <c:v>45108</c:v>
                </c:pt>
                <c:pt idx="45" formatCode="mmm\-yy">
                  <c:v>45139</c:v>
                </c:pt>
                <c:pt idx="46" formatCode="mmm\-yy">
                  <c:v>45170</c:v>
                </c:pt>
                <c:pt idx="47" formatCode="mmm\-yy">
                  <c:v>45200</c:v>
                </c:pt>
                <c:pt idx="48" formatCode="mmm\-yy">
                  <c:v>45231</c:v>
                </c:pt>
                <c:pt idx="49" formatCode="mmm\-yy">
                  <c:v>45261</c:v>
                </c:pt>
                <c:pt idx="50" formatCode="mmm\-yy">
                  <c:v>45292</c:v>
                </c:pt>
                <c:pt idx="51" formatCode="mmm\-yy">
                  <c:v>45323</c:v>
                </c:pt>
                <c:pt idx="52" formatCode="mmm\-yy">
                  <c:v>45352</c:v>
                </c:pt>
                <c:pt idx="53" formatCode="mmm\-yy">
                  <c:v>45383</c:v>
                </c:pt>
                <c:pt idx="54" formatCode="mmm\-yy">
                  <c:v>45413</c:v>
                </c:pt>
                <c:pt idx="55" formatCode="mmm\-yy">
                  <c:v>45444</c:v>
                </c:pt>
                <c:pt idx="56" formatCode="mmm\-yy">
                  <c:v>45474</c:v>
                </c:pt>
                <c:pt idx="57" formatCode="mmm\-yy">
                  <c:v>45505</c:v>
                </c:pt>
                <c:pt idx="58" formatCode="mmm\-yy">
                  <c:v>45536</c:v>
                </c:pt>
                <c:pt idx="59" formatCode="mmm\-yy">
                  <c:v>45566</c:v>
                </c:pt>
                <c:pt idx="60" formatCode="mmm\-yy">
                  <c:v>45566</c:v>
                </c:pt>
                <c:pt idx="61" formatCode="mmm\-yy">
                  <c:v>45985</c:v>
                </c:pt>
                <c:pt idx="62" formatCode="mmm\-yy">
                  <c:v>45597</c:v>
                </c:pt>
                <c:pt idx="63" formatCode="mmm\-yy">
                  <c:v>45627</c:v>
                </c:pt>
                <c:pt idx="64" formatCode="mmm\-yy">
                  <c:v>45627</c:v>
                </c:pt>
                <c:pt idx="65" formatCode="mmm\-yy">
                  <c:v>45658</c:v>
                </c:pt>
                <c:pt idx="66" formatCode="mmm\-yy">
                  <c:v>45658</c:v>
                </c:pt>
                <c:pt idx="67" formatCode="mmm\-yy">
                  <c:v>45713</c:v>
                </c:pt>
                <c:pt idx="68" formatCode="mmm\-yy">
                  <c:v>45713</c:v>
                </c:pt>
                <c:pt idx="69" formatCode="mmm\-yy">
                  <c:v>45741</c:v>
                </c:pt>
                <c:pt idx="70" formatCode="mmm\-yy">
                  <c:v>45741</c:v>
                </c:pt>
                <c:pt idx="71" formatCode="mmm\-yy">
                  <c:v>45748</c:v>
                </c:pt>
                <c:pt idx="72" formatCode="mmm\-yy">
                  <c:v>45748</c:v>
                </c:pt>
                <c:pt idx="73" formatCode="mmm\-yy">
                  <c:v>45778</c:v>
                </c:pt>
                <c:pt idx="74" formatCode="mmm\-yy">
                  <c:v>45778</c:v>
                </c:pt>
                <c:pt idx="75" formatCode="mmm\-yy">
                  <c:v>45809</c:v>
                </c:pt>
                <c:pt idx="76" formatCode="mmm\-yy">
                  <c:v>45809</c:v>
                </c:pt>
                <c:pt idx="77" formatCode="mmm\-yy">
                  <c:v>45839</c:v>
                </c:pt>
                <c:pt idx="78" formatCode="mmm\-yy">
                  <c:v>45870</c:v>
                </c:pt>
                <c:pt idx="79" formatCode="mmm\-yy">
                  <c:v>45901</c:v>
                </c:pt>
                <c:pt idx="80" formatCode="mmm\-yy">
                  <c:v>45931</c:v>
                </c:pt>
              </c:numCache>
            </c:numRef>
          </c:cat>
          <c:val>
            <c:numRef>
              <c:f>PGE!$Q$4:$Q$58</c:f>
              <c:numCache>
                <c:formatCode>_(* #,##0.00_);_(* \(#,##0.00\);_(* "-"??_);_(@_)</c:formatCode>
                <c:ptCount val="55"/>
                <c:pt idx="0">
                  <c:v>493.48371448371449</c:v>
                </c:pt>
                <c:pt idx="1">
                  <c:v>250.63506955677775</c:v>
                </c:pt>
                <c:pt idx="2">
                  <c:v>229.84335774058579</c:v>
                </c:pt>
                <c:pt idx="3">
                  <c:v>223.81342434584755</c:v>
                </c:pt>
                <c:pt idx="4">
                  <c:v>226.75364311245531</c:v>
                </c:pt>
                <c:pt idx="5">
                  <c:v>238.94120024247323</c:v>
                </c:pt>
                <c:pt idx="6">
                  <c:v>316.93493635077795</c:v>
                </c:pt>
                <c:pt idx="7">
                  <c:v>530.38986656352733</c:v>
                </c:pt>
                <c:pt idx="8">
                  <c:v>594.88453500522462</c:v>
                </c:pt>
                <c:pt idx="9">
                  <c:v>414.60475082649685</c:v>
                </c:pt>
                <c:pt idx="10">
                  <c:v>437.14405677114132</c:v>
                </c:pt>
                <c:pt idx="11">
                  <c:v>248.23562741846325</c:v>
                </c:pt>
                <c:pt idx="12">
                  <c:v>279.09478672985784</c:v>
                </c:pt>
                <c:pt idx="13">
                  <c:v>295.73738214087632</c:v>
                </c:pt>
                <c:pt idx="14">
                  <c:v>433.41145992075587</c:v>
                </c:pt>
                <c:pt idx="15">
                  <c:v>488.47913862718707</c:v>
                </c:pt>
                <c:pt idx="16">
                  <c:v>772.04892162019985</c:v>
                </c:pt>
                <c:pt idx="17">
                  <c:v>565.6570855614973</c:v>
                </c:pt>
                <c:pt idx="18">
                  <c:v>463.75989717223649</c:v>
                </c:pt>
                <c:pt idx="19">
                  <c:v>293.4752886836028</c:v>
                </c:pt>
                <c:pt idx="20">
                  <c:v>259.8923817974395</c:v>
                </c:pt>
                <c:pt idx="21">
                  <c:v>413.94723531440394</c:v>
                </c:pt>
                <c:pt idx="22">
                  <c:v>398.97978363020434</c:v>
                </c:pt>
                <c:pt idx="23">
                  <c:v>397.30464984406012</c:v>
                </c:pt>
                <c:pt idx="24">
                  <c:v>320.38202247191009</c:v>
                </c:pt>
                <c:pt idx="25">
                  <c:v>209.95618680789602</c:v>
                </c:pt>
                <c:pt idx="26">
                  <c:v>254.77891243298441</c:v>
                </c:pt>
                <c:pt idx="27">
                  <c:v>239.53544868616757</c:v>
                </c:pt>
                <c:pt idx="28">
                  <c:v>248.99662337662338</c:v>
                </c:pt>
                <c:pt idx="29">
                  <c:v>341.95798065296253</c:v>
                </c:pt>
                <c:pt idx="30">
                  <c:v>483.53882267966776</c:v>
                </c:pt>
                <c:pt idx="31">
                  <c:v>590.49374319912954</c:v>
                </c:pt>
                <c:pt idx="32">
                  <c:v>636.75532588061594</c:v>
                </c:pt>
                <c:pt idx="33">
                  <c:v>474.94560669456069</c:v>
                </c:pt>
                <c:pt idx="34">
                  <c:v>433.70183537889875</c:v>
                </c:pt>
                <c:pt idx="35">
                  <c:v>358.75449326010983</c:v>
                </c:pt>
                <c:pt idx="36">
                  <c:v>369.69761955822435</c:v>
                </c:pt>
                <c:pt idx="37">
                  <c:v>249.80135545688245</c:v>
                </c:pt>
                <c:pt idx="38">
                  <c:v>278.24569567240576</c:v>
                </c:pt>
                <c:pt idx="39">
                  <c:v>302.5305015815635</c:v>
                </c:pt>
                <c:pt idx="40">
                  <c:v>294.17594936708861</c:v>
                </c:pt>
                <c:pt idx="41">
                  <c:v>330.34104938271605</c:v>
                </c:pt>
                <c:pt idx="42">
                  <c:v>311.8374677002584</c:v>
                </c:pt>
                <c:pt idx="43">
                  <c:v>293.16447457627118</c:v>
                </c:pt>
                <c:pt idx="44">
                  <c:v>353.86465557096625</c:v>
                </c:pt>
                <c:pt idx="45">
                  <c:v>408.71457696228339</c:v>
                </c:pt>
                <c:pt idx="46">
                  <c:v>384.44383589955567</c:v>
                </c:pt>
                <c:pt idx="47">
                  <c:v>387.05822147651008</c:v>
                </c:pt>
                <c:pt idx="48">
                  <c:v>290.48883666274969</c:v>
                </c:pt>
                <c:pt idx="49">
                  <c:v>258.07860860038346</c:v>
                </c:pt>
                <c:pt idx="50">
                  <c:v>275.29750171900071</c:v>
                </c:pt>
                <c:pt idx="51">
                  <c:v>317.14781368821292</c:v>
                </c:pt>
                <c:pt idx="52">
                  <c:v>299.93029563330623</c:v>
                </c:pt>
                <c:pt idx="53">
                  <c:v>326.30958439355385</c:v>
                </c:pt>
                <c:pt idx="54">
                  <c:v>405.74578866768758</c:v>
                </c:pt>
              </c:numCache>
            </c:numRef>
          </c:val>
          <c:smooth val="0"/>
          <c:extLst>
            <c:ext xmlns:c16="http://schemas.microsoft.com/office/drawing/2014/chart" uri="{C3380CC4-5D6E-409C-BE32-E72D297353CC}">
              <c16:uniqueId val="{00000001-6620-44DD-BAD9-4A4653359BC7}"/>
            </c:ext>
          </c:extLst>
        </c:ser>
        <c:dLbls>
          <c:showLegendKey val="0"/>
          <c:showVal val="0"/>
          <c:showCatName val="0"/>
          <c:showSerName val="0"/>
          <c:showPercent val="0"/>
          <c:showBubbleSize val="0"/>
        </c:dLbls>
        <c:marker val="1"/>
        <c:smooth val="0"/>
        <c:axId val="885236848"/>
        <c:axId val="862173776"/>
      </c:lineChart>
      <c:dateAx>
        <c:axId val="885244736"/>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862188656"/>
        <c:crosses val="autoZero"/>
        <c:auto val="1"/>
        <c:lblOffset val="100"/>
        <c:baseTimeUnit val="months"/>
      </c:dateAx>
      <c:valAx>
        <c:axId val="86218865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9933FF"/>
                </a:solidFill>
                <a:latin typeface="+mn-lt"/>
                <a:ea typeface="+mn-ea"/>
                <a:cs typeface="+mn-cs"/>
              </a:defRPr>
            </a:pPr>
            <a:endParaRPr lang="en-US"/>
          </a:p>
        </c:txPr>
        <c:crossAx val="885244736"/>
        <c:crosses val="autoZero"/>
        <c:crossBetween val="between"/>
      </c:valAx>
      <c:valAx>
        <c:axId val="862173776"/>
        <c:scaling>
          <c:orientation val="minMax"/>
        </c:scaling>
        <c:delete val="0"/>
        <c:axPos val="r"/>
        <c:numFmt formatCode="_(* #,##0.00_);_(* \(#,##0.0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50"/>
                </a:solidFill>
                <a:latin typeface="+mn-lt"/>
                <a:ea typeface="+mn-ea"/>
                <a:cs typeface="+mn-cs"/>
              </a:defRPr>
            </a:pPr>
            <a:endParaRPr lang="en-US"/>
          </a:p>
        </c:txPr>
        <c:crossAx val="885236848"/>
        <c:crosses val="max"/>
        <c:crossBetween val="between"/>
      </c:valAx>
      <c:dateAx>
        <c:axId val="885236848"/>
        <c:scaling>
          <c:orientation val="minMax"/>
        </c:scaling>
        <c:delete val="1"/>
        <c:axPos val="b"/>
        <c:numFmt formatCode="[$-409]mmm\-yy;@" sourceLinked="1"/>
        <c:majorTickMark val="out"/>
        <c:minorTickMark val="none"/>
        <c:tickLblPos val="nextTo"/>
        <c:crossAx val="86217377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996633"/>
                </a:solidFill>
              </a:rPr>
              <a:t>465 Hebb Park [Well</a:t>
            </a:r>
            <a:r>
              <a:rPr lang="en-US" baseline="0">
                <a:solidFill>
                  <a:srgbClr val="996633"/>
                </a:solidFill>
              </a:rPr>
              <a:t> Field]</a:t>
            </a:r>
            <a:endParaRPr lang="en-US">
              <a:solidFill>
                <a:srgbClr val="996633"/>
              </a:solidFill>
            </a:endParaRPr>
          </a:p>
        </c:rich>
      </c:tx>
      <c:layout>
        <c:manualLayout>
          <c:xMode val="edge"/>
          <c:yMode val="edge"/>
          <c:x val="0.29096792303481833"/>
          <c:y val="2.192122570145764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PGE!$H$3</c:f>
              <c:strCache>
                <c:ptCount val="1"/>
                <c:pt idx="0">
                  <c:v>kWh</c:v>
                </c:pt>
              </c:strCache>
            </c:strRef>
          </c:tx>
          <c:spPr>
            <a:solidFill>
              <a:srgbClr val="996633"/>
            </a:solidFill>
            <a:ln>
              <a:noFill/>
            </a:ln>
            <a:effectLst/>
          </c:spPr>
          <c:invertIfNegative val="0"/>
          <c:cat>
            <c:numRef>
              <c:f>PGE!$B$4:$B$88</c:f>
              <c:numCache>
                <c:formatCode>[$-409]mmm\-yy;@</c:formatCode>
                <c:ptCount val="85"/>
                <c:pt idx="0">
                  <c:v>43770</c:v>
                </c:pt>
                <c:pt idx="1">
                  <c:v>43800</c:v>
                </c:pt>
                <c:pt idx="2">
                  <c:v>43831</c:v>
                </c:pt>
                <c:pt idx="3">
                  <c:v>43862</c:v>
                </c:pt>
                <c:pt idx="4">
                  <c:v>43891</c:v>
                </c:pt>
                <c:pt idx="5">
                  <c:v>43922</c:v>
                </c:pt>
                <c:pt idx="6">
                  <c:v>43952</c:v>
                </c:pt>
                <c:pt idx="7">
                  <c:v>43983</c:v>
                </c:pt>
                <c:pt idx="8">
                  <c:v>44013</c:v>
                </c:pt>
                <c:pt idx="9">
                  <c:v>44044</c:v>
                </c:pt>
                <c:pt idx="10">
                  <c:v>44075</c:v>
                </c:pt>
                <c:pt idx="11">
                  <c:v>44105</c:v>
                </c:pt>
                <c:pt idx="12">
                  <c:v>44136</c:v>
                </c:pt>
                <c:pt idx="13">
                  <c:v>44166</c:v>
                </c:pt>
                <c:pt idx="14">
                  <c:v>44197</c:v>
                </c:pt>
                <c:pt idx="15">
                  <c:v>44228</c:v>
                </c:pt>
                <c:pt idx="16">
                  <c:v>44256</c:v>
                </c:pt>
                <c:pt idx="17">
                  <c:v>44287</c:v>
                </c:pt>
                <c:pt idx="18">
                  <c:v>44317</c:v>
                </c:pt>
                <c:pt idx="19">
                  <c:v>44348</c:v>
                </c:pt>
                <c:pt idx="20">
                  <c:v>44378</c:v>
                </c:pt>
                <c:pt idx="21">
                  <c:v>44409</c:v>
                </c:pt>
                <c:pt idx="22">
                  <c:v>44440</c:v>
                </c:pt>
                <c:pt idx="23">
                  <c:v>44470</c:v>
                </c:pt>
                <c:pt idx="24">
                  <c:v>44501</c:v>
                </c:pt>
                <c:pt idx="25">
                  <c:v>44531</c:v>
                </c:pt>
                <c:pt idx="26">
                  <c:v>44562</c:v>
                </c:pt>
                <c:pt idx="27">
                  <c:v>44593</c:v>
                </c:pt>
                <c:pt idx="28">
                  <c:v>44621</c:v>
                </c:pt>
                <c:pt idx="29">
                  <c:v>44652</c:v>
                </c:pt>
                <c:pt idx="30">
                  <c:v>44682</c:v>
                </c:pt>
                <c:pt idx="31">
                  <c:v>44713</c:v>
                </c:pt>
                <c:pt idx="32">
                  <c:v>44743</c:v>
                </c:pt>
                <c:pt idx="33">
                  <c:v>44774</c:v>
                </c:pt>
                <c:pt idx="34">
                  <c:v>44805</c:v>
                </c:pt>
                <c:pt idx="35">
                  <c:v>44835</c:v>
                </c:pt>
                <c:pt idx="36">
                  <c:v>44866</c:v>
                </c:pt>
                <c:pt idx="37">
                  <c:v>44896</c:v>
                </c:pt>
                <c:pt idx="38">
                  <c:v>44927</c:v>
                </c:pt>
                <c:pt idx="39">
                  <c:v>44958</c:v>
                </c:pt>
                <c:pt idx="40">
                  <c:v>44986</c:v>
                </c:pt>
                <c:pt idx="41" formatCode="mmm\-yy">
                  <c:v>45017</c:v>
                </c:pt>
                <c:pt idx="42">
                  <c:v>45047</c:v>
                </c:pt>
                <c:pt idx="43" formatCode="mmm\-yy">
                  <c:v>45078</c:v>
                </c:pt>
                <c:pt idx="44" formatCode="mmm\-yy">
                  <c:v>45108</c:v>
                </c:pt>
                <c:pt idx="45" formatCode="mmm\-yy">
                  <c:v>45139</c:v>
                </c:pt>
                <c:pt idx="46" formatCode="mmm\-yy">
                  <c:v>45170</c:v>
                </c:pt>
                <c:pt idx="47" formatCode="mmm\-yy">
                  <c:v>45200</c:v>
                </c:pt>
                <c:pt idx="48" formatCode="mmm\-yy">
                  <c:v>45231</c:v>
                </c:pt>
                <c:pt idx="49" formatCode="mmm\-yy">
                  <c:v>45261</c:v>
                </c:pt>
                <c:pt idx="50" formatCode="mmm\-yy">
                  <c:v>45292</c:v>
                </c:pt>
                <c:pt idx="51" formatCode="mmm\-yy">
                  <c:v>45323</c:v>
                </c:pt>
                <c:pt idx="52" formatCode="mmm\-yy">
                  <c:v>45352</c:v>
                </c:pt>
                <c:pt idx="53" formatCode="mmm\-yy">
                  <c:v>45383</c:v>
                </c:pt>
                <c:pt idx="54" formatCode="mmm\-yy">
                  <c:v>45413</c:v>
                </c:pt>
                <c:pt idx="55" formatCode="mmm\-yy">
                  <c:v>45444</c:v>
                </c:pt>
                <c:pt idx="56" formatCode="mmm\-yy">
                  <c:v>45474</c:v>
                </c:pt>
                <c:pt idx="57" formatCode="mmm\-yy">
                  <c:v>45505</c:v>
                </c:pt>
                <c:pt idx="58" formatCode="mmm\-yy">
                  <c:v>45536</c:v>
                </c:pt>
                <c:pt idx="59" formatCode="mmm\-yy">
                  <c:v>45566</c:v>
                </c:pt>
                <c:pt idx="60" formatCode="mmm\-yy">
                  <c:v>45566</c:v>
                </c:pt>
                <c:pt idx="61" formatCode="mmm\-yy">
                  <c:v>45985</c:v>
                </c:pt>
                <c:pt idx="62" formatCode="mmm\-yy">
                  <c:v>45597</c:v>
                </c:pt>
                <c:pt idx="63" formatCode="mmm\-yy">
                  <c:v>45627</c:v>
                </c:pt>
                <c:pt idx="64" formatCode="mmm\-yy">
                  <c:v>45627</c:v>
                </c:pt>
                <c:pt idx="65" formatCode="mmm\-yy">
                  <c:v>45658</c:v>
                </c:pt>
                <c:pt idx="66" formatCode="mmm\-yy">
                  <c:v>45658</c:v>
                </c:pt>
                <c:pt idx="67" formatCode="mmm\-yy">
                  <c:v>45713</c:v>
                </c:pt>
                <c:pt idx="68" formatCode="mmm\-yy">
                  <c:v>45713</c:v>
                </c:pt>
                <c:pt idx="69" formatCode="mmm\-yy">
                  <c:v>45741</c:v>
                </c:pt>
                <c:pt idx="70" formatCode="mmm\-yy">
                  <c:v>45741</c:v>
                </c:pt>
                <c:pt idx="71" formatCode="mmm\-yy">
                  <c:v>45748</c:v>
                </c:pt>
                <c:pt idx="72" formatCode="mmm\-yy">
                  <c:v>45748</c:v>
                </c:pt>
                <c:pt idx="73" formatCode="mmm\-yy">
                  <c:v>45778</c:v>
                </c:pt>
                <c:pt idx="74" formatCode="mmm\-yy">
                  <c:v>45778</c:v>
                </c:pt>
                <c:pt idx="75" formatCode="mmm\-yy">
                  <c:v>45809</c:v>
                </c:pt>
                <c:pt idx="76" formatCode="mmm\-yy">
                  <c:v>45809</c:v>
                </c:pt>
                <c:pt idx="77" formatCode="mmm\-yy">
                  <c:v>45839</c:v>
                </c:pt>
                <c:pt idx="78" formatCode="mmm\-yy">
                  <c:v>45870</c:v>
                </c:pt>
                <c:pt idx="79" formatCode="mmm\-yy">
                  <c:v>45901</c:v>
                </c:pt>
                <c:pt idx="80" formatCode="mmm\-yy">
                  <c:v>45931</c:v>
                </c:pt>
              </c:numCache>
            </c:numRef>
          </c:cat>
          <c:val>
            <c:numRef>
              <c:f>PGE!$H$4:$H$88</c:f>
              <c:numCache>
                <c:formatCode>_(* #,##0_);_(* \(#,##0\);_(* "-"??_);_(@_)</c:formatCode>
                <c:ptCount val="85"/>
                <c:pt idx="0">
                  <c:v>1304</c:v>
                </c:pt>
                <c:pt idx="1">
                  <c:v>1509</c:v>
                </c:pt>
                <c:pt idx="2">
                  <c:v>1970</c:v>
                </c:pt>
                <c:pt idx="3">
                  <c:v>1825</c:v>
                </c:pt>
                <c:pt idx="4">
                  <c:v>1923</c:v>
                </c:pt>
                <c:pt idx="5">
                  <c:v>2309</c:v>
                </c:pt>
                <c:pt idx="6">
                  <c:v>2256</c:v>
                </c:pt>
                <c:pt idx="7">
                  <c:v>2644</c:v>
                </c:pt>
                <c:pt idx="8">
                  <c:v>3112</c:v>
                </c:pt>
                <c:pt idx="9">
                  <c:v>4577</c:v>
                </c:pt>
                <c:pt idx="10">
                  <c:v>4772</c:v>
                </c:pt>
                <c:pt idx="11">
                  <c:v>3624</c:v>
                </c:pt>
                <c:pt idx="12">
                  <c:v>1159</c:v>
                </c:pt>
                <c:pt idx="13">
                  <c:v>1260</c:v>
                </c:pt>
                <c:pt idx="14">
                  <c:v>1304</c:v>
                </c:pt>
                <c:pt idx="15">
                  <c:v>1282</c:v>
                </c:pt>
                <c:pt idx="16">
                  <c:v>834</c:v>
                </c:pt>
                <c:pt idx="17">
                  <c:v>1353</c:v>
                </c:pt>
                <c:pt idx="18">
                  <c:v>1923</c:v>
                </c:pt>
                <c:pt idx="19">
                  <c:v>3222</c:v>
                </c:pt>
                <c:pt idx="20">
                  <c:v>4324</c:v>
                </c:pt>
                <c:pt idx="21">
                  <c:v>4874</c:v>
                </c:pt>
                <c:pt idx="22">
                  <c:v>5130</c:v>
                </c:pt>
                <c:pt idx="23">
                  <c:v>3887</c:v>
                </c:pt>
                <c:pt idx="24">
                  <c:v>1336</c:v>
                </c:pt>
                <c:pt idx="25">
                  <c:v>1604</c:v>
                </c:pt>
                <c:pt idx="26">
                  <c:v>1578</c:v>
                </c:pt>
                <c:pt idx="27">
                  <c:v>2033</c:v>
                </c:pt>
                <c:pt idx="28">
                  <c:v>1931</c:v>
                </c:pt>
                <c:pt idx="29">
                  <c:v>1261</c:v>
                </c:pt>
                <c:pt idx="30">
                  <c:v>1262</c:v>
                </c:pt>
                <c:pt idx="31">
                  <c:v>1546</c:v>
                </c:pt>
                <c:pt idx="32">
                  <c:v>2207</c:v>
                </c:pt>
                <c:pt idx="33">
                  <c:v>4353</c:v>
                </c:pt>
                <c:pt idx="34">
                  <c:v>4912</c:v>
                </c:pt>
                <c:pt idx="35">
                  <c:v>4406</c:v>
                </c:pt>
                <c:pt idx="36">
                  <c:v>2244</c:v>
                </c:pt>
                <c:pt idx="37">
                  <c:v>1932</c:v>
                </c:pt>
                <c:pt idx="38">
                  <c:v>1895</c:v>
                </c:pt>
                <c:pt idx="39">
                  <c:v>1817</c:v>
                </c:pt>
                <c:pt idx="40">
                  <c:v>1606</c:v>
                </c:pt>
                <c:pt idx="41">
                  <c:v>1574</c:v>
                </c:pt>
                <c:pt idx="42">
                  <c:v>1522</c:v>
                </c:pt>
                <c:pt idx="43">
                  <c:v>3341</c:v>
                </c:pt>
                <c:pt idx="44">
                  <c:v>4333</c:v>
                </c:pt>
                <c:pt idx="45">
                  <c:v>5167</c:v>
                </c:pt>
                <c:pt idx="46">
                  <c:v>4770</c:v>
                </c:pt>
                <c:pt idx="47">
                  <c:v>2823</c:v>
                </c:pt>
                <c:pt idx="48">
                  <c:v>1398</c:v>
                </c:pt>
                <c:pt idx="49">
                  <c:v>1267</c:v>
                </c:pt>
                <c:pt idx="50">
                  <c:v>1737</c:v>
                </c:pt>
                <c:pt idx="51">
                  <c:v>1771</c:v>
                </c:pt>
                <c:pt idx="52">
                  <c:v>1510</c:v>
                </c:pt>
                <c:pt idx="53">
                  <c:v>1398</c:v>
                </c:pt>
                <c:pt idx="54">
                  <c:v>1632</c:v>
                </c:pt>
                <c:pt idx="55">
                  <c:v>2311</c:v>
                </c:pt>
                <c:pt idx="56">
                  <c:v>4453</c:v>
                </c:pt>
                <c:pt idx="57">
                  <c:v>5729</c:v>
                </c:pt>
                <c:pt idx="58">
                  <c:v>4654</c:v>
                </c:pt>
                <c:pt idx="59">
                  <c:v>3373</c:v>
                </c:pt>
                <c:pt idx="61">
                  <c:v>2032</c:v>
                </c:pt>
                <c:pt idx="63">
                  <c:v>1526</c:v>
                </c:pt>
                <c:pt idx="65">
                  <c:v>2082</c:v>
                </c:pt>
                <c:pt idx="67">
                  <c:v>1616</c:v>
                </c:pt>
                <c:pt idx="70">
                  <c:v>872</c:v>
                </c:pt>
                <c:pt idx="72">
                  <c:v>715</c:v>
                </c:pt>
                <c:pt idx="74">
                  <c:v>1586</c:v>
                </c:pt>
                <c:pt idx="76">
                  <c:v>2375</c:v>
                </c:pt>
                <c:pt idx="77">
                  <c:v>4114</c:v>
                </c:pt>
                <c:pt idx="78">
                  <c:v>5080</c:v>
                </c:pt>
                <c:pt idx="79">
                  <c:v>3992</c:v>
                </c:pt>
                <c:pt idx="80">
                  <c:v>2871</c:v>
                </c:pt>
              </c:numCache>
            </c:numRef>
          </c:val>
          <c:extLst>
            <c:ext xmlns:c16="http://schemas.microsoft.com/office/drawing/2014/chart" uri="{C3380CC4-5D6E-409C-BE32-E72D297353CC}">
              <c16:uniqueId val="{00000000-EAB9-46E1-8FA3-CFD4455A8641}"/>
            </c:ext>
          </c:extLst>
        </c:ser>
        <c:dLbls>
          <c:showLegendKey val="0"/>
          <c:showVal val="0"/>
          <c:showCatName val="0"/>
          <c:showSerName val="0"/>
          <c:showPercent val="0"/>
          <c:showBubbleSize val="0"/>
        </c:dLbls>
        <c:gapWidth val="219"/>
        <c:overlap val="-27"/>
        <c:axId val="996778272"/>
        <c:axId val="996783552"/>
      </c:barChart>
      <c:lineChart>
        <c:grouping val="standard"/>
        <c:varyColors val="0"/>
        <c:ser>
          <c:idx val="1"/>
          <c:order val="1"/>
          <c:tx>
            <c:strRef>
              <c:f>PGE!$J$3</c:f>
              <c:strCache>
                <c:ptCount val="1"/>
                <c:pt idx="0">
                  <c:v> Bill Amount </c:v>
                </c:pt>
              </c:strCache>
            </c:strRef>
          </c:tx>
          <c:spPr>
            <a:ln w="28575" cap="rnd">
              <a:solidFill>
                <a:srgbClr val="FF0000"/>
              </a:solidFill>
              <a:round/>
            </a:ln>
            <a:effectLst/>
          </c:spPr>
          <c:marker>
            <c:symbol val="none"/>
          </c:marker>
          <c:cat>
            <c:numRef>
              <c:f>PGE!$B$4:$B$88</c:f>
              <c:numCache>
                <c:formatCode>[$-409]mmm\-yy;@</c:formatCode>
                <c:ptCount val="85"/>
                <c:pt idx="0">
                  <c:v>43770</c:v>
                </c:pt>
                <c:pt idx="1">
                  <c:v>43800</c:v>
                </c:pt>
                <c:pt idx="2">
                  <c:v>43831</c:v>
                </c:pt>
                <c:pt idx="3">
                  <c:v>43862</c:v>
                </c:pt>
                <c:pt idx="4">
                  <c:v>43891</c:v>
                </c:pt>
                <c:pt idx="5">
                  <c:v>43922</c:v>
                </c:pt>
                <c:pt idx="6">
                  <c:v>43952</c:v>
                </c:pt>
                <c:pt idx="7">
                  <c:v>43983</c:v>
                </c:pt>
                <c:pt idx="8">
                  <c:v>44013</c:v>
                </c:pt>
                <c:pt idx="9">
                  <c:v>44044</c:v>
                </c:pt>
                <c:pt idx="10">
                  <c:v>44075</c:v>
                </c:pt>
                <c:pt idx="11">
                  <c:v>44105</c:v>
                </c:pt>
                <c:pt idx="12">
                  <c:v>44136</c:v>
                </c:pt>
                <c:pt idx="13">
                  <c:v>44166</c:v>
                </c:pt>
                <c:pt idx="14">
                  <c:v>44197</c:v>
                </c:pt>
                <c:pt idx="15">
                  <c:v>44228</c:v>
                </c:pt>
                <c:pt idx="16">
                  <c:v>44256</c:v>
                </c:pt>
                <c:pt idx="17">
                  <c:v>44287</c:v>
                </c:pt>
                <c:pt idx="18">
                  <c:v>44317</c:v>
                </c:pt>
                <c:pt idx="19">
                  <c:v>44348</c:v>
                </c:pt>
                <c:pt idx="20">
                  <c:v>44378</c:v>
                </c:pt>
                <c:pt idx="21">
                  <c:v>44409</c:v>
                </c:pt>
                <c:pt idx="22">
                  <c:v>44440</c:v>
                </c:pt>
                <c:pt idx="23">
                  <c:v>44470</c:v>
                </c:pt>
                <c:pt idx="24">
                  <c:v>44501</c:v>
                </c:pt>
                <c:pt idx="25">
                  <c:v>44531</c:v>
                </c:pt>
                <c:pt idx="26">
                  <c:v>44562</c:v>
                </c:pt>
                <c:pt idx="27">
                  <c:v>44593</c:v>
                </c:pt>
                <c:pt idx="28">
                  <c:v>44621</c:v>
                </c:pt>
                <c:pt idx="29">
                  <c:v>44652</c:v>
                </c:pt>
                <c:pt idx="30">
                  <c:v>44682</c:v>
                </c:pt>
                <c:pt idx="31">
                  <c:v>44713</c:v>
                </c:pt>
                <c:pt idx="32">
                  <c:v>44743</c:v>
                </c:pt>
                <c:pt idx="33">
                  <c:v>44774</c:v>
                </c:pt>
                <c:pt idx="34">
                  <c:v>44805</c:v>
                </c:pt>
                <c:pt idx="35">
                  <c:v>44835</c:v>
                </c:pt>
                <c:pt idx="36">
                  <c:v>44866</c:v>
                </c:pt>
                <c:pt idx="37">
                  <c:v>44896</c:v>
                </c:pt>
                <c:pt idx="38">
                  <c:v>44927</c:v>
                </c:pt>
                <c:pt idx="39">
                  <c:v>44958</c:v>
                </c:pt>
                <c:pt idx="40">
                  <c:v>44986</c:v>
                </c:pt>
                <c:pt idx="41" formatCode="mmm\-yy">
                  <c:v>45017</c:v>
                </c:pt>
                <c:pt idx="42">
                  <c:v>45047</c:v>
                </c:pt>
                <c:pt idx="43" formatCode="mmm\-yy">
                  <c:v>45078</c:v>
                </c:pt>
                <c:pt idx="44" formatCode="mmm\-yy">
                  <c:v>45108</c:v>
                </c:pt>
                <c:pt idx="45" formatCode="mmm\-yy">
                  <c:v>45139</c:v>
                </c:pt>
                <c:pt idx="46" formatCode="mmm\-yy">
                  <c:v>45170</c:v>
                </c:pt>
                <c:pt idx="47" formatCode="mmm\-yy">
                  <c:v>45200</c:v>
                </c:pt>
                <c:pt idx="48" formatCode="mmm\-yy">
                  <c:v>45231</c:v>
                </c:pt>
                <c:pt idx="49" formatCode="mmm\-yy">
                  <c:v>45261</c:v>
                </c:pt>
                <c:pt idx="50" formatCode="mmm\-yy">
                  <c:v>45292</c:v>
                </c:pt>
                <c:pt idx="51" formatCode="mmm\-yy">
                  <c:v>45323</c:v>
                </c:pt>
                <c:pt idx="52" formatCode="mmm\-yy">
                  <c:v>45352</c:v>
                </c:pt>
                <c:pt idx="53" formatCode="mmm\-yy">
                  <c:v>45383</c:v>
                </c:pt>
                <c:pt idx="54" formatCode="mmm\-yy">
                  <c:v>45413</c:v>
                </c:pt>
                <c:pt idx="55" formatCode="mmm\-yy">
                  <c:v>45444</c:v>
                </c:pt>
                <c:pt idx="56" formatCode="mmm\-yy">
                  <c:v>45474</c:v>
                </c:pt>
                <c:pt idx="57" formatCode="mmm\-yy">
                  <c:v>45505</c:v>
                </c:pt>
                <c:pt idx="58" formatCode="mmm\-yy">
                  <c:v>45536</c:v>
                </c:pt>
                <c:pt idx="59" formatCode="mmm\-yy">
                  <c:v>45566</c:v>
                </c:pt>
                <c:pt idx="60" formatCode="mmm\-yy">
                  <c:v>45566</c:v>
                </c:pt>
                <c:pt idx="61" formatCode="mmm\-yy">
                  <c:v>45985</c:v>
                </c:pt>
                <c:pt idx="62" formatCode="mmm\-yy">
                  <c:v>45597</c:v>
                </c:pt>
                <c:pt idx="63" formatCode="mmm\-yy">
                  <c:v>45627</c:v>
                </c:pt>
                <c:pt idx="64" formatCode="mmm\-yy">
                  <c:v>45627</c:v>
                </c:pt>
                <c:pt idx="65" formatCode="mmm\-yy">
                  <c:v>45658</c:v>
                </c:pt>
                <c:pt idx="66" formatCode="mmm\-yy">
                  <c:v>45658</c:v>
                </c:pt>
                <c:pt idx="67" formatCode="mmm\-yy">
                  <c:v>45713</c:v>
                </c:pt>
                <c:pt idx="68" formatCode="mmm\-yy">
                  <c:v>45713</c:v>
                </c:pt>
                <c:pt idx="69" formatCode="mmm\-yy">
                  <c:v>45741</c:v>
                </c:pt>
                <c:pt idx="70" formatCode="mmm\-yy">
                  <c:v>45741</c:v>
                </c:pt>
                <c:pt idx="71" formatCode="mmm\-yy">
                  <c:v>45748</c:v>
                </c:pt>
                <c:pt idx="72" formatCode="mmm\-yy">
                  <c:v>45748</c:v>
                </c:pt>
                <c:pt idx="73" formatCode="mmm\-yy">
                  <c:v>45778</c:v>
                </c:pt>
                <c:pt idx="74" formatCode="mmm\-yy">
                  <c:v>45778</c:v>
                </c:pt>
                <c:pt idx="75" formatCode="mmm\-yy">
                  <c:v>45809</c:v>
                </c:pt>
                <c:pt idx="76" formatCode="mmm\-yy">
                  <c:v>45809</c:v>
                </c:pt>
                <c:pt idx="77" formatCode="mmm\-yy">
                  <c:v>45839</c:v>
                </c:pt>
                <c:pt idx="78" formatCode="mmm\-yy">
                  <c:v>45870</c:v>
                </c:pt>
                <c:pt idx="79" formatCode="mmm\-yy">
                  <c:v>45901</c:v>
                </c:pt>
                <c:pt idx="80" formatCode="mmm\-yy">
                  <c:v>45931</c:v>
                </c:pt>
              </c:numCache>
            </c:numRef>
          </c:cat>
          <c:val>
            <c:numRef>
              <c:f>PGE!$J$4:$J$88</c:f>
              <c:numCache>
                <c:formatCode>_("$"* #,##0.00_);_("$"* \(#,##0.00\);_("$"* "-"??_);_(@_)</c:formatCode>
                <c:ptCount val="85"/>
                <c:pt idx="0">
                  <c:v>162.31</c:v>
                </c:pt>
                <c:pt idx="1">
                  <c:v>184.58</c:v>
                </c:pt>
                <c:pt idx="2">
                  <c:v>236.09</c:v>
                </c:pt>
                <c:pt idx="3">
                  <c:v>224.42</c:v>
                </c:pt>
                <c:pt idx="4">
                  <c:v>236.17</c:v>
                </c:pt>
                <c:pt idx="5">
                  <c:v>279.42</c:v>
                </c:pt>
                <c:pt idx="6">
                  <c:v>273.48</c:v>
                </c:pt>
                <c:pt idx="7">
                  <c:v>316.95</c:v>
                </c:pt>
                <c:pt idx="8">
                  <c:v>369.39</c:v>
                </c:pt>
                <c:pt idx="9">
                  <c:v>533.54999999999995</c:v>
                </c:pt>
                <c:pt idx="10">
                  <c:v>555.39</c:v>
                </c:pt>
                <c:pt idx="11">
                  <c:v>426.77</c:v>
                </c:pt>
                <c:pt idx="12">
                  <c:v>150.54</c:v>
                </c:pt>
                <c:pt idx="13">
                  <c:v>161.88999999999999</c:v>
                </c:pt>
                <c:pt idx="14">
                  <c:v>169.64</c:v>
                </c:pt>
                <c:pt idx="15">
                  <c:v>173.69</c:v>
                </c:pt>
                <c:pt idx="16">
                  <c:v>120.23</c:v>
                </c:pt>
                <c:pt idx="17">
                  <c:v>182.17</c:v>
                </c:pt>
                <c:pt idx="18">
                  <c:v>250.33</c:v>
                </c:pt>
                <c:pt idx="19">
                  <c:v>406.45</c:v>
                </c:pt>
                <c:pt idx="20">
                  <c:v>538.39</c:v>
                </c:pt>
                <c:pt idx="21">
                  <c:v>604.23</c:v>
                </c:pt>
                <c:pt idx="22">
                  <c:v>631.20000000000005</c:v>
                </c:pt>
                <c:pt idx="23">
                  <c:v>486.06</c:v>
                </c:pt>
                <c:pt idx="24">
                  <c:v>180.66</c:v>
                </c:pt>
                <c:pt idx="25">
                  <c:v>212.75</c:v>
                </c:pt>
                <c:pt idx="26">
                  <c:v>211.51</c:v>
                </c:pt>
                <c:pt idx="27">
                  <c:v>276.75</c:v>
                </c:pt>
                <c:pt idx="28">
                  <c:v>263.89999999999998</c:v>
                </c:pt>
                <c:pt idx="29">
                  <c:v>179.39</c:v>
                </c:pt>
                <c:pt idx="30">
                  <c:v>179.75</c:v>
                </c:pt>
                <c:pt idx="31">
                  <c:v>223.73</c:v>
                </c:pt>
                <c:pt idx="32">
                  <c:v>311.8</c:v>
                </c:pt>
                <c:pt idx="33">
                  <c:v>594.59</c:v>
                </c:pt>
                <c:pt idx="34">
                  <c:v>666.27</c:v>
                </c:pt>
                <c:pt idx="35">
                  <c:v>599.35</c:v>
                </c:pt>
                <c:pt idx="36">
                  <c:v>315.20999999999998</c:v>
                </c:pt>
                <c:pt idx="37">
                  <c:v>203.25</c:v>
                </c:pt>
                <c:pt idx="38">
                  <c:v>273.39999999999998</c:v>
                </c:pt>
                <c:pt idx="39">
                  <c:v>283.02999999999997</c:v>
                </c:pt>
                <c:pt idx="40">
                  <c:v>252.23</c:v>
                </c:pt>
                <c:pt idx="41">
                  <c:v>247.9</c:v>
                </c:pt>
                <c:pt idx="42">
                  <c:v>241.59</c:v>
                </c:pt>
                <c:pt idx="43">
                  <c:v>505.99</c:v>
                </c:pt>
                <c:pt idx="44">
                  <c:v>650.05999999999995</c:v>
                </c:pt>
                <c:pt idx="45">
                  <c:v>763.88</c:v>
                </c:pt>
                <c:pt idx="46">
                  <c:v>712.74</c:v>
                </c:pt>
                <c:pt idx="47">
                  <c:v>408.67</c:v>
                </c:pt>
                <c:pt idx="48">
                  <c:v>219.74</c:v>
                </c:pt>
                <c:pt idx="49">
                  <c:v>207.21</c:v>
                </c:pt>
                <c:pt idx="50">
                  <c:v>280.13</c:v>
                </c:pt>
                <c:pt idx="51">
                  <c:v>314.12</c:v>
                </c:pt>
                <c:pt idx="52">
                  <c:v>274.25</c:v>
                </c:pt>
                <c:pt idx="53">
                  <c:v>251.56</c:v>
                </c:pt>
                <c:pt idx="54">
                  <c:v>294.95999999999998</c:v>
                </c:pt>
                <c:pt idx="55">
                  <c:v>388.53</c:v>
                </c:pt>
                <c:pt idx="56">
                  <c:v>727.21</c:v>
                </c:pt>
                <c:pt idx="57">
                  <c:v>933.94</c:v>
                </c:pt>
                <c:pt idx="58">
                  <c:v>789.53</c:v>
                </c:pt>
                <c:pt idx="59">
                  <c:v>570.91</c:v>
                </c:pt>
                <c:pt idx="61">
                  <c:v>346.27</c:v>
                </c:pt>
                <c:pt idx="63">
                  <c:v>289.08</c:v>
                </c:pt>
                <c:pt idx="65">
                  <c:v>377.93</c:v>
                </c:pt>
                <c:pt idx="67">
                  <c:v>343</c:v>
                </c:pt>
                <c:pt idx="70">
                  <c:v>192.3</c:v>
                </c:pt>
                <c:pt idx="72">
                  <c:v>159.72999999999999</c:v>
                </c:pt>
                <c:pt idx="74">
                  <c:v>312.66000000000003</c:v>
                </c:pt>
                <c:pt idx="76">
                  <c:v>435.73</c:v>
                </c:pt>
                <c:pt idx="77">
                  <c:v>743.72</c:v>
                </c:pt>
                <c:pt idx="78">
                  <c:v>905.72500000000002</c:v>
                </c:pt>
                <c:pt idx="79">
                  <c:v>726.72</c:v>
                </c:pt>
                <c:pt idx="80">
                  <c:v>528.47</c:v>
                </c:pt>
              </c:numCache>
            </c:numRef>
          </c:val>
          <c:smooth val="0"/>
          <c:extLst>
            <c:ext xmlns:c16="http://schemas.microsoft.com/office/drawing/2014/chart" uri="{C3380CC4-5D6E-409C-BE32-E72D297353CC}">
              <c16:uniqueId val="{00000001-EAB9-46E1-8FA3-CFD4455A8641}"/>
            </c:ext>
          </c:extLst>
        </c:ser>
        <c:dLbls>
          <c:showLegendKey val="0"/>
          <c:showVal val="0"/>
          <c:showCatName val="0"/>
          <c:showSerName val="0"/>
          <c:showPercent val="0"/>
          <c:showBubbleSize val="0"/>
        </c:dLbls>
        <c:marker val="1"/>
        <c:smooth val="0"/>
        <c:axId val="996777312"/>
        <c:axId val="996760992"/>
      </c:lineChart>
      <c:dateAx>
        <c:axId val="996778272"/>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6783552"/>
        <c:crosses val="autoZero"/>
        <c:auto val="1"/>
        <c:lblOffset val="100"/>
        <c:baseTimeUnit val="days"/>
      </c:dateAx>
      <c:valAx>
        <c:axId val="99678355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6778272"/>
        <c:crosses val="autoZero"/>
        <c:crossBetween val="between"/>
      </c:valAx>
      <c:valAx>
        <c:axId val="996760992"/>
        <c:scaling>
          <c:orientation val="minMax"/>
        </c:scaling>
        <c:delete val="0"/>
        <c:axPos val="r"/>
        <c:numFmt formatCode="_(&quot;$&quot;* #,##0.00_);_(&quot;$&quot;* \(#,##0.00\);_(&quot;$&quot;*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6777312"/>
        <c:crosses val="max"/>
        <c:crossBetween val="between"/>
      </c:valAx>
      <c:dateAx>
        <c:axId val="996777312"/>
        <c:scaling>
          <c:orientation val="minMax"/>
        </c:scaling>
        <c:delete val="1"/>
        <c:axPos val="b"/>
        <c:numFmt formatCode="[$-409]mmm\-yy;@" sourceLinked="1"/>
        <c:majorTickMark val="out"/>
        <c:minorTickMark val="none"/>
        <c:tickLblPos val="nextTo"/>
        <c:crossAx val="996760992"/>
        <c:crosses val="autoZero"/>
        <c:auto val="1"/>
        <c:lblOffset val="100"/>
        <c:baseTimeUnit val="day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163830</xdr:colOff>
      <xdr:row>2</xdr:row>
      <xdr:rowOff>3810</xdr:rowOff>
    </xdr:from>
    <xdr:to>
      <xdr:col>12</xdr:col>
      <xdr:colOff>632460</xdr:colOff>
      <xdr:row>18</xdr:row>
      <xdr:rowOff>22860</xdr:rowOff>
    </xdr:to>
    <xdr:graphicFrame macro="">
      <xdr:nvGraphicFramePr>
        <xdr:cNvPr id="5" name="Chart 4">
          <a:extLst>
            <a:ext uri="{FF2B5EF4-FFF2-40B4-BE49-F238E27FC236}">
              <a16:creationId xmlns:a16="http://schemas.microsoft.com/office/drawing/2014/main" id="{CE96BB3B-5E40-CF61-47CC-1F895D4369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1196340</xdr:colOff>
      <xdr:row>42</xdr:row>
      <xdr:rowOff>125730</xdr:rowOff>
    </xdr:from>
    <xdr:ext cx="65" cy="172227"/>
    <xdr:sp macro="" textlink="">
      <xdr:nvSpPr>
        <xdr:cNvPr id="2" name="TextBox 1">
          <a:extLst>
            <a:ext uri="{FF2B5EF4-FFF2-40B4-BE49-F238E27FC236}">
              <a16:creationId xmlns:a16="http://schemas.microsoft.com/office/drawing/2014/main" id="{1968BD6A-8CBA-AD7E-1590-E4B26C86FDD9}"/>
            </a:ext>
          </a:extLst>
        </xdr:cNvPr>
        <xdr:cNvSpPr txBox="1"/>
      </xdr:nvSpPr>
      <xdr:spPr>
        <a:xfrm>
          <a:off x="1767840" y="63512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45720</xdr:colOff>
      <xdr:row>1</xdr:row>
      <xdr:rowOff>114300</xdr:rowOff>
    </xdr:from>
    <xdr:to>
      <xdr:col>13</xdr:col>
      <xdr:colOff>807720</xdr:colOff>
      <xdr:row>14</xdr:row>
      <xdr:rowOff>198120</xdr:rowOff>
    </xdr:to>
    <xdr:graphicFrame macro="">
      <xdr:nvGraphicFramePr>
        <xdr:cNvPr id="5" name="Chart 4">
          <a:extLst>
            <a:ext uri="{FF2B5EF4-FFF2-40B4-BE49-F238E27FC236}">
              <a16:creationId xmlns:a16="http://schemas.microsoft.com/office/drawing/2014/main" id="{D70634C6-D5CF-5C4B-68B1-A2B4162300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162363</xdr:colOff>
      <xdr:row>90</xdr:row>
      <xdr:rowOff>34246</xdr:rowOff>
    </xdr:from>
    <xdr:to>
      <xdr:col>10</xdr:col>
      <xdr:colOff>231168</xdr:colOff>
      <xdr:row>99</xdr:row>
      <xdr:rowOff>179797</xdr:rowOff>
    </xdr:to>
    <xdr:graphicFrame macro="">
      <xdr:nvGraphicFramePr>
        <xdr:cNvPr id="3" name="Chart 2">
          <a:extLst>
            <a:ext uri="{FF2B5EF4-FFF2-40B4-BE49-F238E27FC236}">
              <a16:creationId xmlns:a16="http://schemas.microsoft.com/office/drawing/2014/main" id="{AF1BF3C0-22AB-A397-09FE-EABC271BBC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406640</xdr:colOff>
      <xdr:row>90</xdr:row>
      <xdr:rowOff>0</xdr:rowOff>
    </xdr:from>
    <xdr:to>
      <xdr:col>23</xdr:col>
      <xdr:colOff>308225</xdr:colOff>
      <xdr:row>98</xdr:row>
      <xdr:rowOff>171236</xdr:rowOff>
    </xdr:to>
    <xdr:graphicFrame macro="">
      <xdr:nvGraphicFramePr>
        <xdr:cNvPr id="9" name="Chart 8">
          <a:extLst>
            <a:ext uri="{FF2B5EF4-FFF2-40B4-BE49-F238E27FC236}">
              <a16:creationId xmlns:a16="http://schemas.microsoft.com/office/drawing/2014/main" id="{FEBE26B0-0C9A-3DE1-3F14-3E469E0A5E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12842</xdr:colOff>
      <xdr:row>90</xdr:row>
      <xdr:rowOff>8568</xdr:rowOff>
    </xdr:from>
    <xdr:to>
      <xdr:col>16</xdr:col>
      <xdr:colOff>770561</xdr:colOff>
      <xdr:row>98</xdr:row>
      <xdr:rowOff>102741</xdr:rowOff>
    </xdr:to>
    <xdr:graphicFrame macro="">
      <xdr:nvGraphicFramePr>
        <xdr:cNvPr id="2" name="Chart 1">
          <a:extLst>
            <a:ext uri="{FF2B5EF4-FFF2-40B4-BE49-F238E27FC236}">
              <a16:creationId xmlns:a16="http://schemas.microsoft.com/office/drawing/2014/main" id="{20AEA1DB-B5AE-8618-3424-17132E8666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1</xdr:col>
      <xdr:colOff>1196340</xdr:colOff>
      <xdr:row>0</xdr:row>
      <xdr:rowOff>0</xdr:rowOff>
    </xdr:from>
    <xdr:ext cx="65" cy="172227"/>
    <xdr:sp macro="" textlink="">
      <xdr:nvSpPr>
        <xdr:cNvPr id="2" name="TextBox 1">
          <a:extLst>
            <a:ext uri="{FF2B5EF4-FFF2-40B4-BE49-F238E27FC236}">
              <a16:creationId xmlns:a16="http://schemas.microsoft.com/office/drawing/2014/main" id="{B91865DA-635D-43F2-B812-274EC426D10B}"/>
            </a:ext>
          </a:extLst>
        </xdr:cNvPr>
        <xdr:cNvSpPr txBox="1"/>
      </xdr:nvSpPr>
      <xdr:spPr>
        <a:xfrm>
          <a:off x="1516380" y="662559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1196340</xdr:colOff>
      <xdr:row>0</xdr:row>
      <xdr:rowOff>0</xdr:rowOff>
    </xdr:from>
    <xdr:ext cx="65" cy="172227"/>
    <xdr:sp macro="" textlink="">
      <xdr:nvSpPr>
        <xdr:cNvPr id="3" name="TextBox 2">
          <a:extLst>
            <a:ext uri="{FF2B5EF4-FFF2-40B4-BE49-F238E27FC236}">
              <a16:creationId xmlns:a16="http://schemas.microsoft.com/office/drawing/2014/main" id="{33F2327B-55F9-4FE6-B5C8-144F2F518F8D}"/>
            </a:ext>
          </a:extLst>
        </xdr:cNvPr>
        <xdr:cNvSpPr txBox="1"/>
      </xdr:nvSpPr>
      <xdr:spPr>
        <a:xfrm>
          <a:off x="1516380" y="856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1196340</xdr:colOff>
      <xdr:row>41</xdr:row>
      <xdr:rowOff>125730</xdr:rowOff>
    </xdr:from>
    <xdr:ext cx="65" cy="172227"/>
    <xdr:sp macro="" textlink="">
      <xdr:nvSpPr>
        <xdr:cNvPr id="4" name="TextBox 3">
          <a:extLst>
            <a:ext uri="{FF2B5EF4-FFF2-40B4-BE49-F238E27FC236}">
              <a16:creationId xmlns:a16="http://schemas.microsoft.com/office/drawing/2014/main" id="{04A122B8-49AF-419C-BB71-6CA71DA9AF04}"/>
            </a:ext>
          </a:extLst>
        </xdr:cNvPr>
        <xdr:cNvSpPr txBox="1"/>
      </xdr:nvSpPr>
      <xdr:spPr>
        <a:xfrm>
          <a:off x="1516380" y="873633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1196340</xdr:colOff>
      <xdr:row>41</xdr:row>
      <xdr:rowOff>125730</xdr:rowOff>
    </xdr:from>
    <xdr:ext cx="65" cy="172227"/>
    <xdr:sp macro="" textlink="">
      <xdr:nvSpPr>
        <xdr:cNvPr id="5" name="TextBox 4">
          <a:extLst>
            <a:ext uri="{FF2B5EF4-FFF2-40B4-BE49-F238E27FC236}">
              <a16:creationId xmlns:a16="http://schemas.microsoft.com/office/drawing/2014/main" id="{32CF4F4F-50C8-4792-83B8-2FF551DB4F3E}"/>
            </a:ext>
          </a:extLst>
        </xdr:cNvPr>
        <xdr:cNvSpPr txBox="1"/>
      </xdr:nvSpPr>
      <xdr:spPr>
        <a:xfrm>
          <a:off x="1516380" y="873633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41</xdr:row>
      <xdr:rowOff>144780</xdr:rowOff>
    </xdr:from>
    <xdr:to>
      <xdr:col>2</xdr:col>
      <xdr:colOff>28571</xdr:colOff>
      <xdr:row>63</xdr:row>
      <xdr:rowOff>216549</xdr:rowOff>
    </xdr:to>
    <xdr:pic>
      <xdr:nvPicPr>
        <xdr:cNvPr id="3" name="Picture 2">
          <a:extLst>
            <a:ext uri="{FF2B5EF4-FFF2-40B4-BE49-F238E27FC236}">
              <a16:creationId xmlns:a16="http://schemas.microsoft.com/office/drawing/2014/main" id="{0E4AB4FD-3B52-BDC0-0710-F5EAAF923529}"/>
            </a:ext>
          </a:extLst>
        </xdr:cNvPr>
        <xdr:cNvPicPr>
          <a:picLocks noChangeAspect="1"/>
        </xdr:cNvPicPr>
      </xdr:nvPicPr>
      <xdr:blipFill>
        <a:blip xmlns:r="http://schemas.openxmlformats.org/officeDocument/2006/relationships" r:embed="rId1"/>
        <a:stretch>
          <a:fillRect/>
        </a:stretch>
      </xdr:blipFill>
      <xdr:spPr>
        <a:xfrm>
          <a:off x="1912620" y="8983980"/>
          <a:ext cx="28571" cy="49714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4AAD3-2C8C-401A-99C8-AC723C481AA6}">
  <sheetPr>
    <tabColor rgb="FFDBB7FF"/>
  </sheetPr>
  <dimension ref="A1:I41"/>
  <sheetViews>
    <sheetView tabSelected="1" workbookViewId="0">
      <selection activeCell="I19" sqref="I19"/>
    </sheetView>
  </sheetViews>
  <sheetFormatPr defaultRowHeight="17.399999999999999" x14ac:dyDescent="0.3"/>
  <cols>
    <col min="1" max="2" width="9.23046875" customWidth="1"/>
    <col min="3" max="4" width="8" bestFit="1" customWidth="1"/>
    <col min="5" max="5" width="7.921875" customWidth="1"/>
    <col min="6" max="6" width="9.3046875" customWidth="1"/>
    <col min="7" max="7" width="11.15234375" customWidth="1"/>
  </cols>
  <sheetData>
    <row r="1" spans="1:9" ht="21" x14ac:dyDescent="0.3">
      <c r="A1" s="351" t="s">
        <v>242</v>
      </c>
      <c r="B1" s="351"/>
      <c r="C1" s="351"/>
      <c r="D1" s="351"/>
      <c r="E1" s="351"/>
      <c r="F1" s="351"/>
      <c r="G1" s="351"/>
    </row>
    <row r="2" spans="1:9" ht="18" x14ac:dyDescent="0.3">
      <c r="A2" s="352" t="s">
        <v>209</v>
      </c>
      <c r="B2" s="352"/>
      <c r="C2" s="352"/>
      <c r="D2" s="352"/>
      <c r="E2" s="352"/>
      <c r="F2" s="352"/>
      <c r="G2" s="352"/>
    </row>
    <row r="3" spans="1:9" ht="18" x14ac:dyDescent="0.35">
      <c r="A3" s="28"/>
      <c r="B3" s="353" t="s">
        <v>35</v>
      </c>
      <c r="C3" s="354"/>
      <c r="D3" s="355" t="s">
        <v>36</v>
      </c>
      <c r="E3" s="356"/>
      <c r="F3" s="357" t="s">
        <v>37</v>
      </c>
      <c r="G3" s="359" t="s">
        <v>302</v>
      </c>
    </row>
    <row r="4" spans="1:9" ht="43.2" customHeight="1" x14ac:dyDescent="0.3">
      <c r="A4" s="29"/>
      <c r="B4" s="269" t="s">
        <v>38</v>
      </c>
      <c r="C4" s="272" t="s">
        <v>39</v>
      </c>
      <c r="D4" s="278" t="s">
        <v>38</v>
      </c>
      <c r="E4" s="276" t="s">
        <v>39</v>
      </c>
      <c r="F4" s="358"/>
      <c r="G4" s="360"/>
    </row>
    <row r="5" spans="1:9" x14ac:dyDescent="0.3">
      <c r="A5" s="30">
        <v>45566</v>
      </c>
      <c r="B5" s="270">
        <f>'FY25 Income &amp; Expenses'!C7</f>
        <v>2094.35</v>
      </c>
      <c r="C5" s="273">
        <f>'FY25 Income &amp; Expenses'!C8</f>
        <v>1686.6</v>
      </c>
      <c r="D5" s="279">
        <f>-'FY25 Income &amp; Expenses'!C49</f>
        <v>3043.8199999999997</v>
      </c>
      <c r="E5" s="273">
        <f>-'FY25 Income &amp; Expenses'!C50</f>
        <v>5441.55</v>
      </c>
      <c r="F5" s="31">
        <f t="shared" ref="F5:F16" si="0">B5-D5</f>
        <v>-949.4699999999998</v>
      </c>
      <c r="G5" s="342">
        <f>71736.98+15287.28-601.25-164.24-30-1134.46-172.75-113.75-19.04+2256+81.39</f>
        <v>87126.159999999989</v>
      </c>
    </row>
    <row r="6" spans="1:9" x14ac:dyDescent="0.3">
      <c r="A6" s="30">
        <v>45597</v>
      </c>
      <c r="B6" s="270">
        <f>'FY25 Income &amp; Expenses'!D7</f>
        <v>12567.9</v>
      </c>
      <c r="C6" s="274">
        <f>'FY25 Income &amp; Expenses'!D8</f>
        <v>11976.6</v>
      </c>
      <c r="D6" s="279">
        <f>-'FY25 Income &amp; Expenses'!D49</f>
        <v>3652.79</v>
      </c>
      <c r="E6" s="273">
        <f>-'FY25 Income &amp; Expenses'!D50</f>
        <v>5450.55</v>
      </c>
      <c r="F6" s="31">
        <f t="shared" si="0"/>
        <v>8915.11</v>
      </c>
      <c r="G6" s="342">
        <f>79651.15+15633.18-585-164.25-553.88-30-1134.46-113.75+753-28.78</f>
        <v>93427.209999999977</v>
      </c>
    </row>
    <row r="7" spans="1:9" x14ac:dyDescent="0.3">
      <c r="A7" s="30">
        <v>45627</v>
      </c>
      <c r="B7" s="270">
        <f>'FY25 Income &amp; Expenses'!E7</f>
        <v>1791.9</v>
      </c>
      <c r="C7" s="274">
        <f>'FY25 Income &amp; Expenses'!E8</f>
        <v>1866.6</v>
      </c>
      <c r="D7" s="279">
        <f>-'FY25 Income &amp; Expenses'!E49</f>
        <v>5428.74</v>
      </c>
      <c r="E7" s="273">
        <f>-'FY25 Income &amp; Expenses'!E50</f>
        <v>11205.35</v>
      </c>
      <c r="F7" s="31">
        <f t="shared" si="0"/>
        <v>-3636.8399999999997</v>
      </c>
      <c r="G7" s="342">
        <f>77263.58+15830.5-93.64-67+20.49-3278.67-1136.03-113.75</f>
        <v>88425.48000000001</v>
      </c>
    </row>
    <row r="8" spans="1:9" x14ac:dyDescent="0.3">
      <c r="A8" s="30">
        <v>45658</v>
      </c>
      <c r="B8" s="270">
        <f>'FY25 Income &amp; Expenses'!F7</f>
        <v>11613.87</v>
      </c>
      <c r="C8" s="273">
        <f>'FY25 Income &amp; Expenses'!F8</f>
        <v>11976.6</v>
      </c>
      <c r="D8" s="279">
        <f>-'FY25 Income &amp; Expenses'!F49</f>
        <v>7283.3</v>
      </c>
      <c r="E8" s="273">
        <f>-'FY25 Income &amp; Expenses'!F50</f>
        <v>5450.55</v>
      </c>
      <c r="F8" s="31">
        <f t="shared" si="0"/>
        <v>4330.5700000000006</v>
      </c>
      <c r="G8" s="342">
        <f>83627.45+11946.9-1023.75-128.76-273.96-1245.19-564+957-36.23</f>
        <v>93259.459999999992</v>
      </c>
    </row>
    <row r="9" spans="1:9" x14ac:dyDescent="0.3">
      <c r="A9" s="30">
        <v>45689</v>
      </c>
      <c r="B9" s="270">
        <f>'FY25 Income &amp; Expenses'!G7</f>
        <v>1345.23</v>
      </c>
      <c r="C9" s="273">
        <f>'FY25 Income &amp; Expenses'!G8</f>
        <v>1716.6</v>
      </c>
      <c r="D9" s="279">
        <f>-'FY25 Income &amp; Expenses'!G49</f>
        <v>3449.44</v>
      </c>
      <c r="E9" s="273">
        <f>-'FY25 Income &amp; Expenses'!G50</f>
        <v>6934.55</v>
      </c>
      <c r="F9" s="31">
        <f t="shared" si="0"/>
        <v>-2104.21</v>
      </c>
      <c r="G9" s="343">
        <f>81859.68+14992.82+1911-84-118.09-273.94-715-1139.46-104.15+2250-82.68</f>
        <v>98496.180000000008</v>
      </c>
    </row>
    <row r="10" spans="1:9" x14ac:dyDescent="0.3">
      <c r="A10" s="30">
        <v>45717</v>
      </c>
      <c r="B10" s="270">
        <f>'FY25 Income &amp; Expenses'!H7</f>
        <v>15000.25</v>
      </c>
      <c r="C10" s="273">
        <f>'FY25 Income &amp; Expenses'!H8</f>
        <v>6966.6</v>
      </c>
      <c r="D10" s="280">
        <f>-'FY25 Income &amp; Expenses'!H49</f>
        <v>5134.84</v>
      </c>
      <c r="E10" s="273">
        <f>-'FY25 Income &amp; Expenses'!H50</f>
        <v>6602.05</v>
      </c>
      <c r="F10" s="31">
        <f t="shared" si="0"/>
        <v>9865.41</v>
      </c>
      <c r="G10" s="343">
        <f>87833.93+14865.08+168-118.1-273.94-422.5-1139.46-467.81+522-20.1</f>
        <v>100947.09999999998</v>
      </c>
      <c r="I10" s="32"/>
    </row>
    <row r="11" spans="1:9" x14ac:dyDescent="0.3">
      <c r="A11" s="30">
        <v>45748</v>
      </c>
      <c r="B11" s="270">
        <f>'FY25 Income &amp; Expenses'!I7</f>
        <v>1053.25</v>
      </c>
      <c r="C11" s="273">
        <f>'FY25 Income &amp; Expenses'!I8</f>
        <v>6966.6</v>
      </c>
      <c r="D11" s="280">
        <f>-'FY25 Income &amp; Expenses'!I49</f>
        <v>3072.6</v>
      </c>
      <c r="E11" s="273">
        <f>-'FY25 Income &amp; Expenses'!I50</f>
        <v>5441.55</v>
      </c>
      <c r="F11" s="31">
        <f t="shared" si="0"/>
        <v>-2019.35</v>
      </c>
      <c r="G11" s="343">
        <f>90430.28+12345.14+1035-118.09-25.28-273.94-796.25-1139.46-164.55</f>
        <v>101292.84999999999</v>
      </c>
    </row>
    <row r="12" spans="1:9" x14ac:dyDescent="0.3">
      <c r="A12" s="30">
        <v>45778</v>
      </c>
      <c r="B12" s="270">
        <f>'FY25 Income &amp; Expenses'!J7</f>
        <v>11668.779999999999</v>
      </c>
      <c r="C12" s="273">
        <f>'FY25 Income &amp; Expenses'!J8</f>
        <v>6966.6</v>
      </c>
      <c r="D12" s="280">
        <f>-'FY25 Income &amp; Expenses'!J49</f>
        <v>4614.1200000000008</v>
      </c>
      <c r="E12" s="273">
        <f>-'FY25 Income &amp; Expenses'!J50</f>
        <v>5450.55</v>
      </c>
      <c r="F12" s="31">
        <f t="shared" si="0"/>
        <v>7054.659999999998</v>
      </c>
      <c r="G12" s="342">
        <f>96717.16+11660.56+1377-118.09-273.96-617.5-1139.45-113.75-296.6-297.35</f>
        <v>106898.01999999999</v>
      </c>
    </row>
    <row r="13" spans="1:9" x14ac:dyDescent="0.3">
      <c r="A13" s="30">
        <v>45809</v>
      </c>
      <c r="B13" s="270">
        <f>'FY25 Income &amp; Expenses'!K7</f>
        <v>1123.83</v>
      </c>
      <c r="C13" s="273">
        <f>'FY25 Income &amp; Expenses'!K8</f>
        <v>6966.6</v>
      </c>
      <c r="D13" s="280">
        <f>-'FY25 Income &amp; Expenses'!K49</f>
        <v>4113.7700000000004</v>
      </c>
      <c r="E13" s="273">
        <f>-'FY25 Income &amp; Expenses'!K50</f>
        <v>6566.55</v>
      </c>
      <c r="F13" s="31">
        <f>B13-D13</f>
        <v>-2989.9400000000005</v>
      </c>
      <c r="G13" s="342">
        <f>93560.99+13281.98+513-118.1-273.94-1391.22-192.5+2647.16-96.96</f>
        <v>107930.40999999999</v>
      </c>
    </row>
    <row r="14" spans="1:9" x14ac:dyDescent="0.3">
      <c r="A14" s="30">
        <v>45839</v>
      </c>
      <c r="B14" s="270">
        <f>'FY25 Income &amp; Expenses'!L7</f>
        <v>12345.509999999998</v>
      </c>
      <c r="C14" s="273">
        <f>'FY25 Income &amp; Expenses'!L8</f>
        <v>6966.6</v>
      </c>
      <c r="D14" s="280">
        <f>-'FY25 Income &amp; Expenses'!L49</f>
        <v>4402.29</v>
      </c>
      <c r="E14" s="273">
        <f>-'FY25 Income &amp; Expenses'!L50</f>
        <v>10690.43</v>
      </c>
      <c r="F14" s="31">
        <f t="shared" si="0"/>
        <v>7943.2199999999984</v>
      </c>
      <c r="G14" s="342">
        <f>99193.04+13884+15+2602-118.09-273.94-1139.46-289.38-192.5-192.5-994.75-874.4-905.72-15524.25-4631-244-4840+783-25.19</f>
        <v>86231.859999999986</v>
      </c>
    </row>
    <row r="15" spans="1:9" x14ac:dyDescent="0.3">
      <c r="A15" s="30">
        <v>45870</v>
      </c>
      <c r="B15" s="270">
        <f>'FY25 Income &amp; Expenses'!M7</f>
        <v>2376.73</v>
      </c>
      <c r="C15" s="273">
        <f>'FY25 Income &amp; Expenses'!M8</f>
        <v>6966.6</v>
      </c>
      <c r="D15" s="280">
        <f>-'FY25 Income &amp; Expenses'!M49</f>
        <v>14772.009999999998</v>
      </c>
      <c r="E15" s="273">
        <f>-'FY25 Income &amp; Expenses'!M50</f>
        <v>7448.55</v>
      </c>
      <c r="F15" s="31">
        <f t="shared" si="0"/>
        <v>-12395.279999999999</v>
      </c>
      <c r="G15" s="342">
        <f>77830.77+9421.97+2602-296.6-126.15-1162.65-200.6-192.5-585-2510+3960-145.24</f>
        <v>88596</v>
      </c>
    </row>
    <row r="16" spans="1:9" x14ac:dyDescent="0.3">
      <c r="A16" s="30">
        <v>45901</v>
      </c>
      <c r="B16" s="270">
        <f>'FY25 Income &amp; Expenses'!N7+'FY25 Income &amp; Expenses'!O7</f>
        <v>12316.51</v>
      </c>
      <c r="C16" s="273">
        <f>'FY25 Income &amp; Expenses'!N8</f>
        <v>6966.6</v>
      </c>
      <c r="D16" s="280">
        <f>-'FY25 Income &amp; Expenses'!N49</f>
        <v>8014.4699999999993</v>
      </c>
      <c r="E16" s="273">
        <f>-'FY25 Income &amp; Expenses'!N50</f>
        <v>5589.05</v>
      </c>
      <c r="F16" s="31">
        <f t="shared" si="0"/>
        <v>4302.0400000000009</v>
      </c>
      <c r="G16" s="342">
        <f>75557.08+11679.38-118.1-273.94-1330.49-2426.88-10.48-633.75+1525-45.01</f>
        <v>83922.81</v>
      </c>
    </row>
    <row r="17" spans="1:8" s="35" customFormat="1" x14ac:dyDescent="0.3">
      <c r="A17" s="33" t="s">
        <v>25</v>
      </c>
      <c r="B17" s="271">
        <f>SUM(B5:B16)</f>
        <v>85298.109999999986</v>
      </c>
      <c r="C17" s="275">
        <f>SUM(C5:C16)</f>
        <v>77989.2</v>
      </c>
      <c r="D17" s="281">
        <f>SUM(D5:D16)</f>
        <v>66982.19</v>
      </c>
      <c r="E17" s="277">
        <f>SUM(E5:E16)</f>
        <v>82271.280000000028</v>
      </c>
      <c r="F17" s="34">
        <f>SUM(F5:F16)</f>
        <v>18315.920000000002</v>
      </c>
      <c r="G17" s="344"/>
    </row>
    <row r="18" spans="1:8" x14ac:dyDescent="0.3">
      <c r="G18" s="346"/>
    </row>
    <row r="19" spans="1:8" ht="39" customHeight="1" x14ac:dyDescent="0.3">
      <c r="A19" s="350" t="s">
        <v>40</v>
      </c>
      <c r="B19" s="350"/>
      <c r="C19" s="203">
        <f>B17-SUM(C5:C16)</f>
        <v>7308.9099999999889</v>
      </c>
      <c r="D19" s="32"/>
      <c r="E19" s="32"/>
      <c r="F19" s="32"/>
    </row>
    <row r="20" spans="1:8" x14ac:dyDescent="0.3">
      <c r="G20" s="32"/>
      <c r="H20" s="32"/>
    </row>
    <row r="21" spans="1:8" ht="39" customHeight="1" x14ac:dyDescent="0.3">
      <c r="A21" s="350" t="s">
        <v>300</v>
      </c>
      <c r="B21" s="350"/>
      <c r="C21" s="32"/>
      <c r="D21" s="32"/>
      <c r="E21" s="203">
        <f>D17-SUM( E5:E16)</f>
        <v>-15289.090000000026</v>
      </c>
      <c r="G21" s="32"/>
    </row>
    <row r="22" spans="1:8" x14ac:dyDescent="0.3">
      <c r="C22" s="32"/>
      <c r="G22" s="32"/>
      <c r="H22" s="32"/>
    </row>
    <row r="23" spans="1:8" s="36" customFormat="1" ht="13.2" x14ac:dyDescent="0.25">
      <c r="C23" s="202"/>
      <c r="D23" s="204" t="s">
        <v>255</v>
      </c>
      <c r="E23" s="202">
        <f>B17</f>
        <v>85298.109999999986</v>
      </c>
      <c r="G23" s="202"/>
      <c r="H23" s="202"/>
    </row>
    <row r="24" spans="1:8" s="36" customFormat="1" ht="13.2" x14ac:dyDescent="0.25">
      <c r="C24" s="202"/>
      <c r="D24" s="204" t="s">
        <v>256</v>
      </c>
      <c r="E24" s="202">
        <f>D17+E35</f>
        <v>66982.19</v>
      </c>
      <c r="G24" s="202"/>
      <c r="H24" s="202"/>
    </row>
    <row r="25" spans="1:8" s="36" customFormat="1" ht="13.2" x14ac:dyDescent="0.25">
      <c r="D25" s="204" t="s">
        <v>257</v>
      </c>
      <c r="E25" s="202">
        <f>E23-E24</f>
        <v>18315.919999999984</v>
      </c>
    </row>
    <row r="26" spans="1:8" ht="19.2" customHeight="1" x14ac:dyDescent="0.3">
      <c r="E26" s="161"/>
      <c r="F26" s="36"/>
    </row>
    <row r="27" spans="1:8" ht="19.2" customHeight="1" x14ac:dyDescent="0.3">
      <c r="A27" s="36"/>
      <c r="B27" s="36"/>
      <c r="C27" s="36"/>
      <c r="D27" s="36"/>
      <c r="E27" s="202"/>
      <c r="F27" s="36"/>
    </row>
    <row r="28" spans="1:8" x14ac:dyDescent="0.3">
      <c r="A28" s="40"/>
      <c r="B28" s="36"/>
      <c r="C28" s="36"/>
      <c r="D28" s="36"/>
      <c r="E28" s="283"/>
      <c r="F28" s="36"/>
    </row>
    <row r="29" spans="1:8" x14ac:dyDescent="0.3">
      <c r="A29" s="40"/>
      <c r="B29" s="36"/>
      <c r="C29" s="36"/>
      <c r="D29" s="36"/>
      <c r="E29" s="283"/>
    </row>
    <row r="30" spans="1:8" x14ac:dyDescent="0.3">
      <c r="A30" s="40"/>
      <c r="B30" s="36"/>
      <c r="C30" s="36"/>
      <c r="D30" s="36"/>
      <c r="E30" s="283"/>
    </row>
    <row r="31" spans="1:8" x14ac:dyDescent="0.3">
      <c r="A31" s="40"/>
      <c r="B31" s="36"/>
      <c r="C31" s="36"/>
      <c r="D31" s="36"/>
      <c r="E31" s="283"/>
    </row>
    <row r="32" spans="1:8" x14ac:dyDescent="0.3">
      <c r="A32" s="40"/>
      <c r="B32" s="36"/>
      <c r="C32" s="36"/>
      <c r="D32" s="36"/>
      <c r="E32" s="283"/>
    </row>
    <row r="33" spans="1:5" x14ac:dyDescent="0.3">
      <c r="A33" s="40"/>
      <c r="B33" s="36"/>
      <c r="C33" s="36"/>
      <c r="D33" s="36"/>
      <c r="E33" s="283"/>
    </row>
    <row r="34" spans="1:5" x14ac:dyDescent="0.3">
      <c r="A34" s="40"/>
      <c r="B34" s="36"/>
      <c r="C34" s="36"/>
      <c r="D34" s="36"/>
      <c r="E34" s="283"/>
    </row>
    <row r="35" spans="1:5" x14ac:dyDescent="0.3">
      <c r="A35" s="36"/>
      <c r="B35" s="36"/>
      <c r="C35" s="36"/>
      <c r="D35" s="36"/>
      <c r="E35" s="282"/>
    </row>
    <row r="36" spans="1:5" x14ac:dyDescent="0.3">
      <c r="A36" s="36"/>
      <c r="B36" s="36"/>
      <c r="C36" s="36"/>
      <c r="D36" s="36"/>
      <c r="E36" s="36"/>
    </row>
    <row r="37" spans="1:5" x14ac:dyDescent="0.3">
      <c r="A37" s="36"/>
      <c r="B37" s="36"/>
      <c r="C37" s="36"/>
      <c r="D37" s="36"/>
      <c r="E37" s="36"/>
    </row>
    <row r="38" spans="1:5" x14ac:dyDescent="0.3">
      <c r="A38" s="36"/>
      <c r="B38" s="36"/>
      <c r="C38" s="36"/>
      <c r="D38" s="36"/>
      <c r="E38" s="36"/>
    </row>
    <row r="39" spans="1:5" x14ac:dyDescent="0.3">
      <c r="A39" s="36"/>
      <c r="B39" s="36"/>
      <c r="C39" s="36"/>
      <c r="D39" s="36"/>
      <c r="E39" s="36"/>
    </row>
    <row r="40" spans="1:5" x14ac:dyDescent="0.3">
      <c r="A40" s="36"/>
      <c r="B40" s="36"/>
      <c r="C40" s="36"/>
      <c r="D40" s="36"/>
      <c r="E40" s="36"/>
    </row>
    <row r="41" spans="1:5" x14ac:dyDescent="0.3">
      <c r="A41" s="36"/>
      <c r="B41" s="36"/>
      <c r="C41" s="36"/>
      <c r="D41" s="36"/>
      <c r="E41" s="36"/>
    </row>
  </sheetData>
  <mergeCells count="8">
    <mergeCell ref="A19:B19"/>
    <mergeCell ref="A21:B21"/>
    <mergeCell ref="A1:G1"/>
    <mergeCell ref="A2:G2"/>
    <mergeCell ref="B3:C3"/>
    <mergeCell ref="D3:E3"/>
    <mergeCell ref="F3:F4"/>
    <mergeCell ref="G3:G4"/>
  </mergeCells>
  <pageMargins left="0.25" right="0.25" top="0.75" bottom="0.75" header="0.3" footer="0.3"/>
  <pageSetup scale="9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24552-DF6D-48B7-981A-0E135AAE62D7}">
  <sheetPr>
    <tabColor rgb="FFCCFFCC"/>
  </sheetPr>
  <dimension ref="A1:T58"/>
  <sheetViews>
    <sheetView zoomScaleNormal="100" workbookViewId="0">
      <pane xSplit="2" ySplit="3" topLeftCell="C4" activePane="bottomRight" state="frozen"/>
      <selection pane="topRight" activeCell="C1" sqref="C1"/>
      <selection pane="bottomLeft" activeCell="A4" sqref="A4"/>
      <selection pane="bottomRight" activeCell="C4" sqref="C4"/>
    </sheetView>
  </sheetViews>
  <sheetFormatPr defaultRowHeight="13.8" x14ac:dyDescent="0.3"/>
  <cols>
    <col min="1" max="1" width="3.23046875" style="1" customWidth="1"/>
    <col min="2" max="2" width="20.4609375" style="1" customWidth="1"/>
    <col min="3" max="3" width="6.921875" style="1" customWidth="1"/>
    <col min="4" max="4" width="6.69140625" style="57" customWidth="1"/>
    <col min="5" max="5" width="7.4609375" style="1" customWidth="1"/>
    <col min="6" max="6" width="7.23046875" style="1" bestFit="1" customWidth="1"/>
    <col min="7" max="11" width="6.61328125" style="1" bestFit="1" customWidth="1"/>
    <col min="12" max="12" width="7.3828125" style="1" customWidth="1"/>
    <col min="13" max="13" width="6.61328125" style="1" bestFit="1" customWidth="1"/>
    <col min="14" max="14" width="6.53515625" style="1" customWidth="1"/>
    <col min="15" max="15" width="7.61328125" style="1" customWidth="1"/>
    <col min="16" max="16" width="7.3828125" style="2" customWidth="1"/>
    <col min="17" max="17" width="8.69140625" style="210" customWidth="1"/>
    <col min="18" max="18" width="1.3046875" style="210" customWidth="1"/>
    <col min="19" max="19" width="9.23046875" style="213"/>
    <col min="20" max="20" width="9.23046875" style="219"/>
    <col min="21" max="16384" width="9.23046875" style="1"/>
  </cols>
  <sheetData>
    <row r="1" spans="1:20" s="2" customFormat="1" x14ac:dyDescent="0.3">
      <c r="A1" s="361" t="s">
        <v>229</v>
      </c>
      <c r="B1" s="361"/>
      <c r="C1" s="361"/>
      <c r="D1" s="361"/>
      <c r="E1" s="361"/>
      <c r="F1" s="361"/>
      <c r="G1" s="361"/>
      <c r="H1" s="361"/>
      <c r="I1" s="361"/>
      <c r="J1" s="361"/>
      <c r="K1" s="361"/>
      <c r="L1" s="361"/>
      <c r="M1" s="361"/>
      <c r="N1" s="361"/>
      <c r="O1" s="361"/>
      <c r="P1" s="361"/>
      <c r="Q1" s="214"/>
      <c r="R1" s="215"/>
      <c r="S1" s="216"/>
      <c r="T1" s="217"/>
    </row>
    <row r="2" spans="1:20" x14ac:dyDescent="0.3">
      <c r="A2" s="150"/>
      <c r="B2" s="174" t="s">
        <v>210</v>
      </c>
      <c r="C2" s="67" t="s">
        <v>101</v>
      </c>
      <c r="D2" s="151"/>
      <c r="E2" s="150"/>
      <c r="F2" s="150"/>
      <c r="G2" s="150"/>
      <c r="H2" s="150"/>
      <c r="I2" s="150"/>
      <c r="J2" s="150"/>
      <c r="K2" s="150"/>
      <c r="L2" s="150"/>
      <c r="M2" s="150"/>
      <c r="N2" s="141"/>
      <c r="O2" s="141"/>
      <c r="P2" s="150"/>
      <c r="R2" s="218"/>
    </row>
    <row r="3" spans="1:20" s="6" customFormat="1" ht="69" x14ac:dyDescent="0.3">
      <c r="A3" s="3" t="s">
        <v>27</v>
      </c>
      <c r="B3" s="4"/>
      <c r="C3" s="17">
        <v>45566</v>
      </c>
      <c r="D3" s="66">
        <v>45597</v>
      </c>
      <c r="E3" s="17">
        <v>45627</v>
      </c>
      <c r="F3" s="66">
        <v>45658</v>
      </c>
      <c r="G3" s="17">
        <v>45689</v>
      </c>
      <c r="H3" s="66">
        <v>45717</v>
      </c>
      <c r="I3" s="17">
        <v>45748</v>
      </c>
      <c r="J3" s="66">
        <v>45778</v>
      </c>
      <c r="K3" s="17">
        <v>45809</v>
      </c>
      <c r="L3" s="66">
        <v>45839</v>
      </c>
      <c r="M3" s="17">
        <v>45870</v>
      </c>
      <c r="N3" s="66">
        <v>45901</v>
      </c>
      <c r="O3" s="368" t="s">
        <v>304</v>
      </c>
      <c r="P3" s="5" t="s">
        <v>211</v>
      </c>
      <c r="Q3" s="220" t="s">
        <v>268</v>
      </c>
      <c r="R3" s="221"/>
      <c r="S3" s="220" t="s">
        <v>103</v>
      </c>
      <c r="T3" s="222" t="s">
        <v>263</v>
      </c>
    </row>
    <row r="4" spans="1:20" x14ac:dyDescent="0.3">
      <c r="B4" s="27" t="s">
        <v>274</v>
      </c>
      <c r="C4" s="19">
        <v>2088</v>
      </c>
      <c r="D4" s="19">
        <v>12561.73</v>
      </c>
      <c r="E4" s="19">
        <v>1635.27</v>
      </c>
      <c r="F4" s="19">
        <v>11607</v>
      </c>
      <c r="G4" s="19">
        <v>1339</v>
      </c>
      <c r="H4" s="19">
        <v>14993</v>
      </c>
      <c r="I4" s="19">
        <v>1045.9000000000001</v>
      </c>
      <c r="J4" s="19">
        <v>11360.9</v>
      </c>
      <c r="K4" s="19">
        <v>1116</v>
      </c>
      <c r="L4" s="19">
        <v>12337.46</v>
      </c>
      <c r="M4" s="19">
        <v>2370</v>
      </c>
      <c r="N4" s="19">
        <f>11499+157.5</f>
        <v>11656.5</v>
      </c>
      <c r="O4" s="19">
        <v>653.70000000000005</v>
      </c>
      <c r="P4" s="20">
        <f>SUM(C4:O4)</f>
        <v>84764.46</v>
      </c>
      <c r="Q4" s="210">
        <f>'FY25 Budget'!O5</f>
        <v>77760</v>
      </c>
      <c r="R4" s="218"/>
      <c r="S4" s="213">
        <f>Q4/12*(COUNTA(C4:N4))</f>
        <v>77760</v>
      </c>
      <c r="T4" s="219">
        <f>P4-S4</f>
        <v>7004.4600000000064</v>
      </c>
    </row>
    <row r="5" spans="1:20" x14ac:dyDescent="0.3">
      <c r="B5" s="18" t="s">
        <v>28</v>
      </c>
      <c r="C5" s="19">
        <v>0</v>
      </c>
      <c r="D5" s="19">
        <v>0</v>
      </c>
      <c r="E5" s="19">
        <v>150</v>
      </c>
      <c r="F5" s="19">
        <v>0</v>
      </c>
      <c r="G5" s="19">
        <v>0</v>
      </c>
      <c r="H5" s="19">
        <v>0</v>
      </c>
      <c r="I5" s="19">
        <v>0</v>
      </c>
      <c r="J5" s="19">
        <v>300</v>
      </c>
      <c r="K5" s="19">
        <v>0</v>
      </c>
      <c r="L5" s="19">
        <v>0</v>
      </c>
      <c r="M5" s="19">
        <v>0</v>
      </c>
      <c r="N5" s="19">
        <v>0</v>
      </c>
      <c r="O5" s="19"/>
      <c r="P5" s="20">
        <f t="shared" ref="P5:P6" si="0">SUM(C5:O5)</f>
        <v>450</v>
      </c>
      <c r="Q5" s="210">
        <f>'FY25 Budget'!O6</f>
        <v>150</v>
      </c>
      <c r="R5" s="218"/>
      <c r="S5" s="213">
        <f>Q5/12*(COUNTA(C5:N5))</f>
        <v>150</v>
      </c>
      <c r="T5" s="219">
        <f>P5-S5</f>
        <v>300</v>
      </c>
    </row>
    <row r="6" spans="1:20" ht="14.4" thickBot="1" x14ac:dyDescent="0.35">
      <c r="B6" s="21" t="s">
        <v>29</v>
      </c>
      <c r="C6" s="22">
        <f>6.35</f>
        <v>6.35</v>
      </c>
      <c r="D6" s="22">
        <v>6.17</v>
      </c>
      <c r="E6" s="22">
        <v>6.63</v>
      </c>
      <c r="F6" s="22">
        <v>6.87</v>
      </c>
      <c r="G6" s="22">
        <v>6.23</v>
      </c>
      <c r="H6" s="22">
        <v>7.25</v>
      </c>
      <c r="I6" s="22">
        <v>7.35</v>
      </c>
      <c r="J6" s="22">
        <v>7.88</v>
      </c>
      <c r="K6" s="22">
        <v>7.83</v>
      </c>
      <c r="L6" s="22">
        <v>8.0500000000000007</v>
      </c>
      <c r="M6" s="22">
        <v>6.73</v>
      </c>
      <c r="N6" s="22">
        <v>6.31</v>
      </c>
      <c r="O6" s="22"/>
      <c r="P6" s="20">
        <f t="shared" si="0"/>
        <v>83.65</v>
      </c>
      <c r="Q6" s="210">
        <f>'FY25 Budget'!O7</f>
        <v>79.199999999999989</v>
      </c>
      <c r="R6" s="218"/>
      <c r="S6" s="213">
        <f>Q6/12*(COUNTA(C6:N6))</f>
        <v>79.199999999999989</v>
      </c>
      <c r="T6" s="219">
        <f>P6-S6</f>
        <v>4.4500000000000171</v>
      </c>
    </row>
    <row r="7" spans="1:20" ht="14.4" thickBot="1" x14ac:dyDescent="0.35">
      <c r="B7" s="9" t="s">
        <v>31</v>
      </c>
      <c r="C7" s="10">
        <f t="shared" ref="C7:O7" si="1">SUM(C4:C6)</f>
        <v>2094.35</v>
      </c>
      <c r="D7" s="10">
        <f t="shared" si="1"/>
        <v>12567.9</v>
      </c>
      <c r="E7" s="10">
        <f t="shared" si="1"/>
        <v>1791.9</v>
      </c>
      <c r="F7" s="10">
        <f t="shared" si="1"/>
        <v>11613.87</v>
      </c>
      <c r="G7" s="10">
        <f t="shared" si="1"/>
        <v>1345.23</v>
      </c>
      <c r="H7" s="10">
        <f t="shared" si="1"/>
        <v>15000.25</v>
      </c>
      <c r="I7" s="10">
        <f t="shared" si="1"/>
        <v>1053.25</v>
      </c>
      <c r="J7" s="10">
        <f t="shared" si="1"/>
        <v>11668.779999999999</v>
      </c>
      <c r="K7" s="10">
        <f t="shared" si="1"/>
        <v>1123.83</v>
      </c>
      <c r="L7" s="10">
        <f t="shared" si="1"/>
        <v>12345.509999999998</v>
      </c>
      <c r="M7" s="10">
        <f t="shared" si="1"/>
        <v>2376.73</v>
      </c>
      <c r="N7" s="10">
        <f t="shared" si="1"/>
        <v>11662.81</v>
      </c>
      <c r="O7" s="10">
        <f t="shared" si="1"/>
        <v>653.70000000000005</v>
      </c>
      <c r="P7" s="11">
        <f>SUM(C7:O7)</f>
        <v>85298.109999999986</v>
      </c>
      <c r="Q7" s="210">
        <f>SUM(Q4:Q6)</f>
        <v>77989.2</v>
      </c>
      <c r="R7" s="218"/>
      <c r="S7" s="213">
        <f>SUM(S4:S6)</f>
        <v>77989.2</v>
      </c>
      <c r="T7" s="219">
        <f>P7-S7</f>
        <v>7308.9099999999889</v>
      </c>
    </row>
    <row r="8" spans="1:20" x14ac:dyDescent="0.3">
      <c r="B8" s="58" t="s">
        <v>98</v>
      </c>
      <c r="C8" s="62">
        <f>'FY25 Budget'!C8</f>
        <v>1686.6</v>
      </c>
      <c r="D8" s="62">
        <f>'FY25 Budget'!D8</f>
        <v>11976.6</v>
      </c>
      <c r="E8" s="62">
        <f>'FY25 Budget'!E8</f>
        <v>1866.6</v>
      </c>
      <c r="F8" s="62">
        <f>'FY25 Budget'!F8</f>
        <v>11976.6</v>
      </c>
      <c r="G8" s="62">
        <f>'FY25 Budget'!G8</f>
        <v>1716.6</v>
      </c>
      <c r="H8" s="62">
        <f>'FY25 Budget'!H8</f>
        <v>6966.6</v>
      </c>
      <c r="I8" s="62">
        <f>'FY25 Budget'!I8</f>
        <v>6966.6</v>
      </c>
      <c r="J8" s="62">
        <f>'FY25 Budget'!J8</f>
        <v>6966.6</v>
      </c>
      <c r="K8" s="62">
        <f>'FY25 Budget'!K8</f>
        <v>6966.6</v>
      </c>
      <c r="L8" s="62">
        <f>'FY25 Budget'!L8</f>
        <v>6966.6</v>
      </c>
      <c r="M8" s="62">
        <f>'FY25 Budget'!M8</f>
        <v>6966.6</v>
      </c>
      <c r="N8" s="62">
        <f>'FY25 Budget'!N8</f>
        <v>6966.6</v>
      </c>
      <c r="O8" s="62">
        <v>0</v>
      </c>
      <c r="P8" s="62">
        <f>SUM(C8:O8)</f>
        <v>77989.2</v>
      </c>
      <c r="R8" s="218"/>
    </row>
    <row r="9" spans="1:20" s="63" customFormat="1" x14ac:dyDescent="0.3">
      <c r="B9" s="63" t="s">
        <v>99</v>
      </c>
      <c r="C9" s="64">
        <f>C7-C8</f>
        <v>407.75</v>
      </c>
      <c r="D9" s="64">
        <f t="shared" ref="D9:P9" si="2">D7-D8</f>
        <v>591.29999999999927</v>
      </c>
      <c r="E9" s="64">
        <f t="shared" si="2"/>
        <v>-74.699999999999818</v>
      </c>
      <c r="F9" s="64">
        <f t="shared" si="2"/>
        <v>-362.72999999999956</v>
      </c>
      <c r="G9" s="64">
        <f t="shared" si="2"/>
        <v>-371.36999999999989</v>
      </c>
      <c r="H9" s="64">
        <f t="shared" si="2"/>
        <v>8033.65</v>
      </c>
      <c r="I9" s="64">
        <f t="shared" si="2"/>
        <v>-5913.35</v>
      </c>
      <c r="J9" s="64">
        <f t="shared" si="2"/>
        <v>4702.1799999999985</v>
      </c>
      <c r="K9" s="64">
        <f t="shared" si="2"/>
        <v>-5842.77</v>
      </c>
      <c r="L9" s="64">
        <f t="shared" si="2"/>
        <v>5378.909999999998</v>
      </c>
      <c r="M9" s="64">
        <f t="shared" si="2"/>
        <v>-4589.8700000000008</v>
      </c>
      <c r="N9" s="64">
        <f t="shared" si="2"/>
        <v>4696.2099999999991</v>
      </c>
      <c r="O9" s="64">
        <f t="shared" si="2"/>
        <v>653.70000000000005</v>
      </c>
      <c r="P9" s="64">
        <f t="shared" si="2"/>
        <v>7308.9099999999889</v>
      </c>
      <c r="Q9" s="212"/>
      <c r="R9" s="223"/>
      <c r="S9" s="213"/>
      <c r="T9" s="219"/>
    </row>
    <row r="10" spans="1:20" x14ac:dyDescent="0.3">
      <c r="C10" s="8"/>
      <c r="D10" s="8"/>
      <c r="E10" s="8"/>
      <c r="F10" s="8"/>
      <c r="G10" s="12"/>
      <c r="H10" s="12"/>
      <c r="I10" s="12"/>
      <c r="J10" s="12"/>
      <c r="K10" s="12"/>
      <c r="L10" s="12"/>
      <c r="M10" s="12"/>
      <c r="N10" s="13"/>
      <c r="O10" s="13"/>
      <c r="P10" s="12"/>
      <c r="R10" s="218"/>
      <c r="S10" s="213" t="s">
        <v>164</v>
      </c>
    </row>
    <row r="11" spans="1:20" s="6" customFormat="1" x14ac:dyDescent="0.3">
      <c r="A11" s="3" t="s">
        <v>8</v>
      </c>
      <c r="B11" s="5"/>
      <c r="C11" s="17">
        <v>45589</v>
      </c>
      <c r="D11" s="17">
        <v>45620</v>
      </c>
      <c r="E11" s="17">
        <v>45650</v>
      </c>
      <c r="F11" s="17">
        <v>45681</v>
      </c>
      <c r="G11" s="17">
        <v>45712</v>
      </c>
      <c r="H11" s="17">
        <v>45740</v>
      </c>
      <c r="I11" s="17">
        <v>45771</v>
      </c>
      <c r="J11" s="17">
        <v>45801</v>
      </c>
      <c r="K11" s="17">
        <v>45832</v>
      </c>
      <c r="L11" s="17">
        <v>45862</v>
      </c>
      <c r="M11" s="17">
        <v>45893</v>
      </c>
      <c r="N11" s="17">
        <v>45924</v>
      </c>
      <c r="O11" s="17"/>
      <c r="P11" s="369" t="s">
        <v>211</v>
      </c>
      <c r="Q11" s="224"/>
      <c r="R11" s="225"/>
      <c r="S11" s="226"/>
      <c r="T11" s="227"/>
    </row>
    <row r="12" spans="1:20" x14ac:dyDescent="0.3">
      <c r="A12" s="14" t="s">
        <v>0</v>
      </c>
      <c r="B12" s="14"/>
      <c r="C12" s="7"/>
      <c r="D12" s="7"/>
      <c r="E12" s="7"/>
      <c r="F12" s="7"/>
      <c r="G12" s="13"/>
      <c r="H12" s="13"/>
      <c r="I12" s="13"/>
      <c r="J12" s="13"/>
      <c r="K12" s="13"/>
      <c r="L12" s="13"/>
      <c r="M12" s="13"/>
      <c r="N12" s="13"/>
      <c r="O12" s="13"/>
      <c r="P12" s="12"/>
      <c r="R12" s="218"/>
    </row>
    <row r="13" spans="1:20" x14ac:dyDescent="0.3">
      <c r="B13" s="18" t="s">
        <v>10</v>
      </c>
      <c r="C13" s="19">
        <v>0</v>
      </c>
      <c r="D13" s="19">
        <v>-601.25</v>
      </c>
      <c r="E13" s="19">
        <v>-585</v>
      </c>
      <c r="F13" s="19">
        <f>-1316.25</f>
        <v>-1316.25</v>
      </c>
      <c r="G13" s="19">
        <f>-1023.75</f>
        <v>-1023.75</v>
      </c>
      <c r="H13" s="19">
        <v>-715</v>
      </c>
      <c r="I13" s="19">
        <v>-422.5</v>
      </c>
      <c r="J13" s="19">
        <v>-796.25</v>
      </c>
      <c r="K13" s="19">
        <f>-617.5</f>
        <v>-617.5</v>
      </c>
      <c r="L13" s="19">
        <v>-487.5</v>
      </c>
      <c r="M13" s="19">
        <v>-994.75</v>
      </c>
      <c r="N13" s="19">
        <v>-585</v>
      </c>
      <c r="O13" s="19"/>
      <c r="P13" s="20">
        <f>SUM(C13:O13)</f>
        <v>-8144.75</v>
      </c>
      <c r="Q13" s="210">
        <f>-'FY25 Budget'!O12</f>
        <v>-11220</v>
      </c>
      <c r="R13" s="218"/>
      <c r="S13" s="213">
        <f>Q13/12*(COUNTA(C13:N13))</f>
        <v>-11220</v>
      </c>
      <c r="T13" s="219">
        <f t="shared" ref="T13:T22" si="3">P13-S13</f>
        <v>3075.25</v>
      </c>
    </row>
    <row r="14" spans="1:20" x14ac:dyDescent="0.3">
      <c r="B14" s="18" t="s">
        <v>244</v>
      </c>
      <c r="C14" s="19">
        <f>-25.51</f>
        <v>-25.51</v>
      </c>
      <c r="D14" s="19">
        <v>-127.24</v>
      </c>
      <c r="E14" s="19">
        <v>-31.78</v>
      </c>
      <c r="F14" s="19">
        <f>-88.44-22.94</f>
        <v>-111.38</v>
      </c>
      <c r="G14" s="19">
        <f>-58.53-81.98</f>
        <v>-140.51</v>
      </c>
      <c r="H14" s="19">
        <f>-136.37</f>
        <v>-136.37</v>
      </c>
      <c r="I14" s="19">
        <f>-6.39-26.49</f>
        <v>-32.879999999999995</v>
      </c>
      <c r="J14" s="19">
        <f>-127.79</f>
        <v>-127.79</v>
      </c>
      <c r="K14" s="19">
        <f>-28.05</f>
        <v>-28.05</v>
      </c>
      <c r="L14" s="19">
        <v>-184.7</v>
      </c>
      <c r="M14" s="19">
        <v>-25.19</v>
      </c>
      <c r="N14" s="19">
        <v>-186.1</v>
      </c>
      <c r="O14" s="19">
        <v>-10.45</v>
      </c>
      <c r="P14" s="20">
        <f>SUM(C14:O14)</f>
        <v>-1167.9499999999998</v>
      </c>
      <c r="Q14" s="210">
        <f>-'FY25 Budget'!O13</f>
        <v>-780</v>
      </c>
      <c r="R14" s="218"/>
      <c r="S14" s="213">
        <f t="shared" ref="S14:S22" si="4">Q14/12*(COUNTA(C14:N14))</f>
        <v>-780</v>
      </c>
      <c r="T14" s="219">
        <f t="shared" si="3"/>
        <v>-387.94999999999982</v>
      </c>
    </row>
    <row r="15" spans="1:20" x14ac:dyDescent="0.3">
      <c r="B15" s="18" t="s">
        <v>34</v>
      </c>
      <c r="C15" s="19">
        <v>0</v>
      </c>
      <c r="D15" s="19">
        <v>0</v>
      </c>
      <c r="E15" s="19">
        <v>0</v>
      </c>
      <c r="F15" s="19">
        <v>0</v>
      </c>
      <c r="G15" s="19">
        <f>-50</f>
        <v>-50</v>
      </c>
      <c r="H15" s="19">
        <v>0</v>
      </c>
      <c r="I15" s="19">
        <v>0</v>
      </c>
      <c r="J15" s="19">
        <v>0</v>
      </c>
      <c r="K15" s="19">
        <v>0</v>
      </c>
      <c r="L15" s="19">
        <v>0</v>
      </c>
      <c r="M15" s="19">
        <v>0</v>
      </c>
      <c r="N15" s="19">
        <v>0</v>
      </c>
      <c r="O15" s="19"/>
      <c r="P15" s="20">
        <f>SUM(C15:O15)</f>
        <v>-50</v>
      </c>
      <c r="Q15" s="210">
        <f>-'FY25 Budget'!O14</f>
        <v>-55.000000000000007</v>
      </c>
      <c r="R15" s="218"/>
      <c r="S15" s="213">
        <f t="shared" si="4"/>
        <v>-55.000000000000007</v>
      </c>
      <c r="T15" s="219">
        <f t="shared" si="3"/>
        <v>5.0000000000000071</v>
      </c>
    </row>
    <row r="16" spans="1:20" x14ac:dyDescent="0.3">
      <c r="B16" s="18" t="s">
        <v>247</v>
      </c>
      <c r="C16" s="19">
        <v>0</v>
      </c>
      <c r="D16" s="19">
        <v>0</v>
      </c>
      <c r="E16" s="19">
        <v>-30</v>
      </c>
      <c r="F16" s="19">
        <v>0</v>
      </c>
      <c r="G16" s="19"/>
      <c r="H16" s="19">
        <v>0</v>
      </c>
      <c r="I16" s="19">
        <v>0</v>
      </c>
      <c r="J16" s="19">
        <v>0</v>
      </c>
      <c r="K16" s="19">
        <v>0</v>
      </c>
      <c r="L16" s="19">
        <v>-115.5</v>
      </c>
      <c r="M16" s="19">
        <v>0</v>
      </c>
      <c r="N16" s="19">
        <v>0</v>
      </c>
      <c r="O16" s="19"/>
      <c r="P16" s="20">
        <f>SUM(C16:O16)</f>
        <v>-145.5</v>
      </c>
      <c r="Q16" s="210">
        <f>-'FY25 Budget'!O15</f>
        <v>-213.88</v>
      </c>
      <c r="R16" s="218"/>
      <c r="S16" s="213">
        <f t="shared" si="4"/>
        <v>-196.05666666666667</v>
      </c>
      <c r="T16" s="219">
        <f t="shared" si="3"/>
        <v>50.556666666666672</v>
      </c>
    </row>
    <row r="17" spans="1:20" x14ac:dyDescent="0.3">
      <c r="B17" s="18" t="s">
        <v>23</v>
      </c>
      <c r="C17" s="19">
        <v>0</v>
      </c>
      <c r="D17" s="19">
        <v>0</v>
      </c>
      <c r="E17" s="19">
        <v>0</v>
      </c>
      <c r="F17" s="19">
        <v>0</v>
      </c>
      <c r="G17" s="19">
        <v>0</v>
      </c>
      <c r="H17" s="19">
        <v>0</v>
      </c>
      <c r="I17" s="19">
        <v>0</v>
      </c>
      <c r="J17" s="19">
        <v>0</v>
      </c>
      <c r="K17" s="19">
        <v>0</v>
      </c>
      <c r="L17" s="19">
        <v>0</v>
      </c>
      <c r="M17" s="25">
        <v>-244</v>
      </c>
      <c r="N17" s="19">
        <v>0</v>
      </c>
      <c r="O17" s="19"/>
      <c r="P17" s="20">
        <f>SUM(C17:O17)</f>
        <v>-244</v>
      </c>
      <c r="Q17" s="210">
        <f>-'FY25 Budget'!O16</f>
        <v>-255</v>
      </c>
      <c r="R17" s="218"/>
      <c r="S17" s="213">
        <f t="shared" si="4"/>
        <v>-255</v>
      </c>
      <c r="T17" s="219">
        <f t="shared" si="3"/>
        <v>11</v>
      </c>
    </row>
    <row r="18" spans="1:20" x14ac:dyDescent="0.3">
      <c r="B18" s="18" t="s">
        <v>13</v>
      </c>
      <c r="C18" s="25">
        <v>0</v>
      </c>
      <c r="D18" s="19">
        <v>0</v>
      </c>
      <c r="E18" s="25">
        <v>0</v>
      </c>
      <c r="F18" s="19">
        <f>-73</f>
        <v>-73</v>
      </c>
      <c r="G18" s="19">
        <v>0</v>
      </c>
      <c r="H18" s="19">
        <v>0</v>
      </c>
      <c r="I18" s="19">
        <v>0</v>
      </c>
      <c r="J18" s="25">
        <v>0</v>
      </c>
      <c r="K18" s="25">
        <v>0</v>
      </c>
      <c r="L18" s="25">
        <v>0</v>
      </c>
      <c r="M18" s="25">
        <v>0</v>
      </c>
      <c r="N18" s="25">
        <f>-78</f>
        <v>-78</v>
      </c>
      <c r="O18" s="25"/>
      <c r="P18" s="20">
        <f>SUM(C18:O18)</f>
        <v>-151</v>
      </c>
      <c r="Q18" s="210">
        <f>-'FY25 Budget'!O17</f>
        <v>-158.80000000000001</v>
      </c>
      <c r="R18" s="218"/>
      <c r="S18" s="213">
        <f t="shared" si="4"/>
        <v>-158.80000000000001</v>
      </c>
      <c r="T18" s="219">
        <f t="shared" si="3"/>
        <v>7.8000000000000114</v>
      </c>
    </row>
    <row r="19" spans="1:20" x14ac:dyDescent="0.3">
      <c r="B19" s="18" t="s">
        <v>3</v>
      </c>
      <c r="C19" s="25">
        <v>0</v>
      </c>
      <c r="D19" s="19">
        <v>0</v>
      </c>
      <c r="E19" s="25">
        <v>0</v>
      </c>
      <c r="F19" s="19">
        <v>0</v>
      </c>
      <c r="G19" s="19">
        <v>0</v>
      </c>
      <c r="H19" s="19">
        <v>0</v>
      </c>
      <c r="I19" s="19">
        <v>0</v>
      </c>
      <c r="J19" s="25">
        <v>0</v>
      </c>
      <c r="K19" s="25">
        <v>0</v>
      </c>
      <c r="L19" s="25">
        <v>0</v>
      </c>
      <c r="M19" s="25">
        <v>0</v>
      </c>
      <c r="N19" s="25">
        <v>-16.989999999999998</v>
      </c>
      <c r="O19" s="25"/>
      <c r="P19" s="20">
        <f>SUM(C19:O19)</f>
        <v>-16.989999999999998</v>
      </c>
      <c r="Q19" s="210">
        <f>-'FY25 Budget'!O18</f>
        <v>-25</v>
      </c>
      <c r="R19" s="218"/>
      <c r="S19" s="213">
        <f t="shared" si="4"/>
        <v>-25</v>
      </c>
      <c r="T19" s="219">
        <f t="shared" si="3"/>
        <v>8.0100000000000016</v>
      </c>
    </row>
    <row r="20" spans="1:20" x14ac:dyDescent="0.3">
      <c r="B20" s="18" t="s">
        <v>184</v>
      </c>
      <c r="C20" s="25">
        <v>0</v>
      </c>
      <c r="D20" s="19">
        <v>0</v>
      </c>
      <c r="E20" s="25">
        <v>0</v>
      </c>
      <c r="F20" s="19">
        <v>0</v>
      </c>
      <c r="G20" s="19">
        <v>0</v>
      </c>
      <c r="H20" s="19">
        <v>-810</v>
      </c>
      <c r="I20" s="19">
        <v>0</v>
      </c>
      <c r="J20" s="25">
        <v>0</v>
      </c>
      <c r="K20" s="25">
        <v>0</v>
      </c>
      <c r="L20" s="25">
        <v>0</v>
      </c>
      <c r="M20" s="25">
        <v>0</v>
      </c>
      <c r="N20" s="25">
        <v>0</v>
      </c>
      <c r="O20" s="25"/>
      <c r="P20" s="20">
        <f>SUM(C20:O20)</f>
        <v>-810</v>
      </c>
      <c r="Q20" s="210">
        <f>-'FY25 Budget'!O19</f>
        <v>-800</v>
      </c>
      <c r="R20" s="218"/>
      <c r="S20" s="213">
        <f t="shared" si="4"/>
        <v>-800</v>
      </c>
      <c r="T20" s="219">
        <f t="shared" si="3"/>
        <v>-10</v>
      </c>
    </row>
    <row r="21" spans="1:20" x14ac:dyDescent="0.3">
      <c r="B21" s="18" t="s">
        <v>16</v>
      </c>
      <c r="C21" s="19">
        <v>-23.17</v>
      </c>
      <c r="D21" s="19">
        <v>0</v>
      </c>
      <c r="E21" s="19">
        <v>0</v>
      </c>
      <c r="F21" s="19">
        <v>0</v>
      </c>
      <c r="G21" s="19">
        <v>0</v>
      </c>
      <c r="H21" s="19">
        <v>0</v>
      </c>
      <c r="I21" s="19">
        <v>0</v>
      </c>
      <c r="J21" s="19">
        <v>0</v>
      </c>
      <c r="K21" s="19">
        <v>0</v>
      </c>
      <c r="L21" s="19">
        <v>0</v>
      </c>
      <c r="M21" s="19">
        <v>0</v>
      </c>
      <c r="N21" s="19">
        <v>0</v>
      </c>
      <c r="O21" s="19"/>
      <c r="P21" s="20">
        <f>SUM(C21:O21)</f>
        <v>-23.17</v>
      </c>
      <c r="Q21" s="210">
        <f>-'FY25 Budget'!O20</f>
        <v>-250</v>
      </c>
      <c r="R21" s="218"/>
      <c r="S21" s="213">
        <f t="shared" si="4"/>
        <v>-250</v>
      </c>
      <c r="T21" s="219">
        <f t="shared" si="3"/>
        <v>226.82999999999998</v>
      </c>
    </row>
    <row r="22" spans="1:20" x14ac:dyDescent="0.3">
      <c r="B22" s="18" t="s">
        <v>1</v>
      </c>
      <c r="C22" s="19">
        <v>0</v>
      </c>
      <c r="D22" s="19" t="s">
        <v>303</v>
      </c>
      <c r="E22" s="19">
        <v>0</v>
      </c>
      <c r="F22" s="19">
        <v>0</v>
      </c>
      <c r="G22" s="19">
        <v>0</v>
      </c>
      <c r="H22" s="19">
        <v>0</v>
      </c>
      <c r="I22" s="19">
        <v>-5</v>
      </c>
      <c r="J22" s="19">
        <v>0</v>
      </c>
      <c r="K22" s="19">
        <v>0</v>
      </c>
      <c r="L22" s="19">
        <v>0</v>
      </c>
      <c r="M22" s="19">
        <v>0</v>
      </c>
      <c r="N22" s="19">
        <v>-115</v>
      </c>
      <c r="O22" s="19"/>
      <c r="P22" s="20">
        <f>SUM(C22:O22)</f>
        <v>-120</v>
      </c>
      <c r="Q22" s="210">
        <f>-'FY25 Budget'!O21</f>
        <v>-1500</v>
      </c>
      <c r="R22" s="218"/>
      <c r="S22" s="213">
        <f t="shared" si="4"/>
        <v>-1500</v>
      </c>
      <c r="T22" s="219">
        <f t="shared" si="3"/>
        <v>1380</v>
      </c>
    </row>
    <row r="23" spans="1:20" x14ac:dyDescent="0.3">
      <c r="A23" s="14" t="s">
        <v>26</v>
      </c>
      <c r="B23" s="14"/>
      <c r="C23" s="7"/>
      <c r="D23" s="7"/>
      <c r="E23" s="7"/>
      <c r="F23" s="7"/>
      <c r="G23" s="7"/>
      <c r="H23" s="7"/>
      <c r="I23" s="7"/>
      <c r="J23" s="7"/>
      <c r="K23" s="7"/>
      <c r="L23" s="7"/>
      <c r="M23" s="7"/>
      <c r="N23" s="7"/>
      <c r="O23" s="7"/>
      <c r="P23" s="8"/>
      <c r="R23" s="218"/>
    </row>
    <row r="24" spans="1:20" x14ac:dyDescent="0.3">
      <c r="B24" s="18" t="s">
        <v>185</v>
      </c>
      <c r="C24" s="19">
        <v>0</v>
      </c>
      <c r="D24" s="19">
        <v>0</v>
      </c>
      <c r="E24" s="19">
        <v>0</v>
      </c>
      <c r="F24" s="19">
        <v>0</v>
      </c>
      <c r="G24" s="19">
        <v>0</v>
      </c>
      <c r="H24" s="19">
        <v>0</v>
      </c>
      <c r="I24" s="19">
        <v>0</v>
      </c>
      <c r="J24" s="19">
        <v>0</v>
      </c>
      <c r="K24" s="19">
        <v>0</v>
      </c>
      <c r="L24" s="19">
        <v>0</v>
      </c>
      <c r="M24" s="19">
        <v>0</v>
      </c>
      <c r="N24" s="19">
        <v>0</v>
      </c>
      <c r="O24" s="19"/>
      <c r="P24" s="20">
        <f>SUM(C24:O24)</f>
        <v>0</v>
      </c>
      <c r="Q24" s="210">
        <f>-'FY25 Budget'!O23</f>
        <v>-33</v>
      </c>
      <c r="R24" s="218"/>
      <c r="S24" s="213">
        <f t="shared" ref="S24:S48" si="5">Q24/12*(COUNTA(C24:N24))</f>
        <v>-33</v>
      </c>
      <c r="T24" s="219">
        <f>P24-S24</f>
        <v>33</v>
      </c>
    </row>
    <row r="25" spans="1:20" x14ac:dyDescent="0.3">
      <c r="B25" s="18" t="s">
        <v>187</v>
      </c>
      <c r="C25" s="19">
        <v>0</v>
      </c>
      <c r="D25" s="19">
        <v>0</v>
      </c>
      <c r="E25" s="19">
        <v>0</v>
      </c>
      <c r="F25" s="19">
        <v>0</v>
      </c>
      <c r="G25" s="19">
        <v>0</v>
      </c>
      <c r="H25" s="19">
        <v>0</v>
      </c>
      <c r="I25" s="19">
        <v>0</v>
      </c>
      <c r="J25" s="19">
        <v>0</v>
      </c>
      <c r="K25" s="19">
        <v>0</v>
      </c>
      <c r="L25" s="19">
        <v>0</v>
      </c>
      <c r="M25" s="19">
        <v>0</v>
      </c>
      <c r="N25" s="19">
        <v>0</v>
      </c>
      <c r="O25" s="19"/>
      <c r="P25" s="20">
        <f>SUM(C25:O25)</f>
        <v>0</v>
      </c>
      <c r="Q25" s="210">
        <f>-'FY25 Budget'!O24</f>
        <v>-125</v>
      </c>
      <c r="R25" s="218"/>
      <c r="S25" s="213">
        <f t="shared" si="5"/>
        <v>-125</v>
      </c>
      <c r="T25" s="219">
        <f>P25-S25</f>
        <v>125</v>
      </c>
    </row>
    <row r="26" spans="1:20" x14ac:dyDescent="0.3">
      <c r="B26" s="18" t="s">
        <v>12</v>
      </c>
      <c r="C26" s="19">
        <v>0</v>
      </c>
      <c r="D26" s="19">
        <v>0</v>
      </c>
      <c r="E26" s="19">
        <v>0</v>
      </c>
      <c r="F26" s="19">
        <v>0</v>
      </c>
      <c r="G26" s="19">
        <v>0</v>
      </c>
      <c r="H26" s="19">
        <v>-155</v>
      </c>
      <c r="I26" s="19">
        <v>0</v>
      </c>
      <c r="J26" s="19">
        <v>0</v>
      </c>
      <c r="K26" s="19">
        <v>0</v>
      </c>
      <c r="L26" s="19">
        <v>0</v>
      </c>
      <c r="M26" s="19">
        <v>0</v>
      </c>
      <c r="N26" s="19">
        <v>0</v>
      </c>
      <c r="O26" s="19"/>
      <c r="P26" s="20">
        <f>SUM(C26:O26)</f>
        <v>-155</v>
      </c>
      <c r="Q26" s="210">
        <f>-'FY25 Budget'!O25</f>
        <v>-160</v>
      </c>
      <c r="R26" s="218"/>
      <c r="S26" s="213">
        <f t="shared" si="5"/>
        <v>-160</v>
      </c>
      <c r="T26" s="219">
        <f>P26-S26</f>
        <v>5</v>
      </c>
    </row>
    <row r="27" spans="1:20" x14ac:dyDescent="0.3">
      <c r="B27" s="18" t="s">
        <v>1</v>
      </c>
      <c r="C27" s="19">
        <v>0</v>
      </c>
      <c r="D27" s="19">
        <v>0</v>
      </c>
      <c r="E27" s="19">
        <v>0</v>
      </c>
      <c r="F27" s="19">
        <v>0</v>
      </c>
      <c r="G27" s="19">
        <v>0</v>
      </c>
      <c r="H27" s="19">
        <v>0</v>
      </c>
      <c r="I27" s="19">
        <v>0</v>
      </c>
      <c r="J27" s="19">
        <v>0</v>
      </c>
      <c r="K27" s="19">
        <v>0</v>
      </c>
      <c r="L27" s="19">
        <v>0</v>
      </c>
      <c r="M27" s="19">
        <v>0</v>
      </c>
      <c r="N27" s="19">
        <v>0</v>
      </c>
      <c r="O27" s="19"/>
      <c r="P27" s="20">
        <f>SUM(C27:O27)</f>
        <v>0</v>
      </c>
      <c r="Q27" s="210">
        <f>-'FY25 Budget'!O26</f>
        <v>0</v>
      </c>
      <c r="R27" s="218"/>
      <c r="S27" s="213">
        <f t="shared" si="5"/>
        <v>0</v>
      </c>
      <c r="T27" s="219">
        <f>P27-S27</f>
        <v>0</v>
      </c>
    </row>
    <row r="28" spans="1:20" x14ac:dyDescent="0.3">
      <c r="A28" s="14" t="s">
        <v>2</v>
      </c>
      <c r="B28" s="14"/>
      <c r="C28" s="13"/>
      <c r="D28" s="7"/>
      <c r="E28" s="13"/>
      <c r="F28" s="13"/>
      <c r="G28" s="7"/>
      <c r="H28" s="7"/>
      <c r="I28" s="7"/>
      <c r="J28" s="7"/>
      <c r="K28" s="7"/>
      <c r="L28" s="7"/>
      <c r="M28" s="7"/>
      <c r="N28" s="7"/>
      <c r="O28" s="7"/>
      <c r="P28" s="8"/>
      <c r="R28" s="218"/>
    </row>
    <row r="29" spans="1:20" x14ac:dyDescent="0.3">
      <c r="B29" s="18" t="s">
        <v>17</v>
      </c>
      <c r="C29" s="19">
        <v>0</v>
      </c>
      <c r="D29" s="19">
        <v>0</v>
      </c>
      <c r="E29" s="19">
        <v>0</v>
      </c>
      <c r="F29" s="19">
        <v>0</v>
      </c>
      <c r="G29" s="19">
        <v>0</v>
      </c>
      <c r="H29" s="19">
        <v>0</v>
      </c>
      <c r="I29" s="19">
        <v>0</v>
      </c>
      <c r="J29" s="19">
        <v>0</v>
      </c>
      <c r="K29" s="19">
        <v>0</v>
      </c>
      <c r="L29" s="19">
        <v>0</v>
      </c>
      <c r="M29" s="19">
        <v>0</v>
      </c>
      <c r="N29" s="19">
        <v>0</v>
      </c>
      <c r="O29" s="19"/>
      <c r="P29" s="20">
        <f>SUM(C29:O29)</f>
        <v>0</v>
      </c>
      <c r="Q29" s="210">
        <f>-'FY25 Budget'!O28</f>
        <v>-5000</v>
      </c>
      <c r="R29" s="218"/>
      <c r="S29" s="213">
        <f t="shared" si="5"/>
        <v>-5000</v>
      </c>
      <c r="T29" s="219">
        <f t="shared" ref="T29:T36" si="6">P29-S29</f>
        <v>5000</v>
      </c>
    </row>
    <row r="30" spans="1:20" ht="27.6" x14ac:dyDescent="0.3">
      <c r="B30" s="27" t="s">
        <v>30</v>
      </c>
      <c r="C30" s="19">
        <v>0</v>
      </c>
      <c r="D30" s="19">
        <v>0</v>
      </c>
      <c r="E30" s="19">
        <v>0</v>
      </c>
      <c r="F30" s="19">
        <v>0</v>
      </c>
      <c r="G30" s="19">
        <v>0</v>
      </c>
      <c r="H30" s="19">
        <v>0</v>
      </c>
      <c r="I30" s="19">
        <v>0</v>
      </c>
      <c r="J30" s="19">
        <v>0</v>
      </c>
      <c r="K30" s="19">
        <v>0</v>
      </c>
      <c r="L30" s="19">
        <v>0</v>
      </c>
      <c r="M30" s="19">
        <v>0</v>
      </c>
      <c r="N30" s="19">
        <v>0</v>
      </c>
      <c r="O30" s="19"/>
      <c r="P30" s="20">
        <f>SUM(C30:O30)</f>
        <v>0</v>
      </c>
      <c r="Q30" s="210">
        <f>-'FY25 Budget'!O29</f>
        <v>-1000</v>
      </c>
      <c r="R30" s="218"/>
      <c r="S30" s="213">
        <f t="shared" si="5"/>
        <v>-1000</v>
      </c>
      <c r="T30" s="219">
        <f t="shared" si="6"/>
        <v>1000</v>
      </c>
    </row>
    <row r="31" spans="1:20" x14ac:dyDescent="0.3">
      <c r="B31" s="18" t="s">
        <v>24</v>
      </c>
      <c r="C31" s="19">
        <v>0</v>
      </c>
      <c r="D31" s="19">
        <v>0</v>
      </c>
      <c r="E31" s="19">
        <v>0</v>
      </c>
      <c r="F31" s="19">
        <v>0</v>
      </c>
      <c r="G31" s="19">
        <f>-387</f>
        <v>-387</v>
      </c>
      <c r="H31" s="19">
        <v>0</v>
      </c>
      <c r="I31" s="19">
        <v>0</v>
      </c>
      <c r="J31" s="19">
        <v>0</v>
      </c>
      <c r="K31" s="19">
        <v>0</v>
      </c>
      <c r="L31" s="19">
        <v>0</v>
      </c>
      <c r="M31" s="19"/>
      <c r="N31" s="19">
        <v>0</v>
      </c>
      <c r="O31" s="19"/>
      <c r="P31" s="20">
        <f>SUM(C31:O31)</f>
        <v>-387</v>
      </c>
      <c r="Q31" s="210">
        <f>-'FY25 Budget'!O30</f>
        <v>-495</v>
      </c>
      <c r="R31" s="218"/>
      <c r="S31" s="213">
        <f t="shared" si="5"/>
        <v>-453.75</v>
      </c>
      <c r="T31" s="219">
        <f t="shared" si="6"/>
        <v>66.75</v>
      </c>
    </row>
    <row r="32" spans="1:20" x14ac:dyDescent="0.3">
      <c r="B32" s="18" t="s">
        <v>33</v>
      </c>
      <c r="C32" s="19">
        <f>-227.5</f>
        <v>-227.5</v>
      </c>
      <c r="D32" s="19">
        <v>-227.5</v>
      </c>
      <c r="E32" s="19">
        <f>-227.5</f>
        <v>-227.5</v>
      </c>
      <c r="F32" s="19">
        <f>-227.5</f>
        <v>-227.5</v>
      </c>
      <c r="G32" s="19">
        <v>-192.5</v>
      </c>
      <c r="H32" s="19">
        <f>-314.98</f>
        <v>-314.98</v>
      </c>
      <c r="I32" s="19">
        <v>0</v>
      </c>
      <c r="J32" s="19">
        <v>-113.75</v>
      </c>
      <c r="K32" s="19">
        <f>-353.66</f>
        <v>-353.66</v>
      </c>
      <c r="L32" s="19">
        <v>-385</v>
      </c>
      <c r="M32" s="19">
        <v>-385</v>
      </c>
      <c r="N32" s="19">
        <f>-200.6</f>
        <v>-200.6</v>
      </c>
      <c r="O32" s="19">
        <v>314.98</v>
      </c>
      <c r="P32" s="20">
        <f>SUM(C32:O32)</f>
        <v>-2540.5100000000002</v>
      </c>
      <c r="Q32" s="210">
        <f>-'FY25 Budget'!O31</f>
        <v>-4800</v>
      </c>
      <c r="R32" s="218"/>
      <c r="S32" s="213">
        <f t="shared" si="5"/>
        <v>-4800</v>
      </c>
      <c r="T32" s="219">
        <f t="shared" si="6"/>
        <v>2259.4899999999998</v>
      </c>
    </row>
    <row r="33" spans="1:20" x14ac:dyDescent="0.3">
      <c r="B33" s="18" t="s">
        <v>18</v>
      </c>
      <c r="C33" s="19">
        <v>0</v>
      </c>
      <c r="D33" s="19">
        <f>-198.75</f>
        <v>-198.75</v>
      </c>
      <c r="E33" s="19">
        <v>0</v>
      </c>
      <c r="F33" s="19">
        <f>-3278.67</f>
        <v>-3278.67</v>
      </c>
      <c r="G33" s="19">
        <v>0</v>
      </c>
      <c r="H33" s="19">
        <v>0</v>
      </c>
      <c r="I33" s="19">
        <v>0</v>
      </c>
      <c r="J33" s="19">
        <v>-964.55</v>
      </c>
      <c r="K33" s="19">
        <f>-593.95</f>
        <v>-593.95000000000005</v>
      </c>
      <c r="L33" s="19">
        <v>0</v>
      </c>
      <c r="M33" s="19">
        <v>0</v>
      </c>
      <c r="N33" s="19">
        <f>-53.4</f>
        <v>-53.4</v>
      </c>
      <c r="O33" s="19">
        <v>-123.06</v>
      </c>
      <c r="P33" s="20">
        <f>SUM(C33:O33)</f>
        <v>-5212.38</v>
      </c>
      <c r="Q33" s="210">
        <f>-'FY25 Budget'!O32</f>
        <v>-6000</v>
      </c>
      <c r="R33" s="218"/>
      <c r="S33" s="213">
        <f t="shared" si="5"/>
        <v>-6000</v>
      </c>
      <c r="T33" s="219">
        <f t="shared" si="6"/>
        <v>787.61999999999989</v>
      </c>
    </row>
    <row r="34" spans="1:20" x14ac:dyDescent="0.3">
      <c r="B34" s="18" t="s">
        <v>19</v>
      </c>
      <c r="C34" s="19">
        <v>0</v>
      </c>
      <c r="D34" s="19">
        <v>0</v>
      </c>
      <c r="E34" s="19">
        <v>0</v>
      </c>
      <c r="F34" s="19">
        <v>0</v>
      </c>
      <c r="G34" s="19">
        <v>0</v>
      </c>
      <c r="H34" s="19">
        <v>0</v>
      </c>
      <c r="I34" s="19">
        <v>0</v>
      </c>
      <c r="J34" s="19">
        <v>0</v>
      </c>
      <c r="K34" s="19">
        <v>0</v>
      </c>
      <c r="L34" s="19">
        <v>0</v>
      </c>
      <c r="M34" s="19">
        <v>-4631</v>
      </c>
      <c r="N34" s="19"/>
      <c r="O34" s="19"/>
      <c r="P34" s="20">
        <f>SUM(C34:O34)</f>
        <v>-4631</v>
      </c>
      <c r="Q34" s="210">
        <f>-'FY25 Budget'!O33</f>
        <v>-5000</v>
      </c>
      <c r="R34" s="218"/>
      <c r="S34" s="213">
        <f t="shared" si="5"/>
        <v>-4583.3333333333339</v>
      </c>
      <c r="T34" s="219">
        <f t="shared" si="6"/>
        <v>-47.66666666666606</v>
      </c>
    </row>
    <row r="35" spans="1:20" x14ac:dyDescent="0.3">
      <c r="B35" s="18" t="s">
        <v>20</v>
      </c>
      <c r="C35" s="19">
        <v>0</v>
      </c>
      <c r="D35" s="19">
        <v>0</v>
      </c>
      <c r="E35" s="19">
        <v>-2320</v>
      </c>
      <c r="F35" s="19">
        <v>0</v>
      </c>
      <c r="G35" s="19">
        <v>0</v>
      </c>
      <c r="H35" s="19">
        <v>0</v>
      </c>
      <c r="I35" s="19">
        <v>0</v>
      </c>
      <c r="J35" s="19">
        <v>-175</v>
      </c>
      <c r="K35" s="19">
        <v>0</v>
      </c>
      <c r="L35" s="19">
        <v>0</v>
      </c>
      <c r="M35" s="19">
        <v>0</v>
      </c>
      <c r="N35" s="19">
        <v>-3833</v>
      </c>
      <c r="O35" s="19"/>
      <c r="P35" s="20">
        <f>SUM(C35:O35)</f>
        <v>-6328</v>
      </c>
      <c r="Q35" s="210">
        <f>-'FY25 Budget'!O34</f>
        <v>-2000</v>
      </c>
      <c r="R35" s="218"/>
      <c r="S35" s="213">
        <f t="shared" si="5"/>
        <v>-2000</v>
      </c>
      <c r="T35" s="219">
        <f t="shared" si="6"/>
        <v>-4328</v>
      </c>
    </row>
    <row r="36" spans="1:20" x14ac:dyDescent="0.3">
      <c r="B36" s="18" t="s">
        <v>1</v>
      </c>
      <c r="C36" s="19">
        <v>0</v>
      </c>
      <c r="D36" s="19">
        <v>0</v>
      </c>
      <c r="E36" s="19">
        <v>0</v>
      </c>
      <c r="F36" s="19">
        <v>0</v>
      </c>
      <c r="G36" s="19">
        <v>0</v>
      </c>
      <c r="H36" s="19">
        <v>0</v>
      </c>
      <c r="I36" s="19">
        <v>0</v>
      </c>
      <c r="J36" s="19">
        <v>-85.54</v>
      </c>
      <c r="K36" s="19">
        <v>0</v>
      </c>
      <c r="L36" s="19">
        <v>0</v>
      </c>
      <c r="M36" s="19">
        <v>0</v>
      </c>
      <c r="N36" s="19">
        <v>0</v>
      </c>
      <c r="O36" s="19"/>
      <c r="P36" s="20">
        <f>SUM(C36:O36)</f>
        <v>-85.54</v>
      </c>
      <c r="Q36" s="210">
        <f>-'FY25 Budget'!O35</f>
        <v>0</v>
      </c>
      <c r="R36" s="218"/>
      <c r="S36" s="213">
        <f t="shared" si="5"/>
        <v>0</v>
      </c>
      <c r="T36" s="219">
        <f t="shared" si="6"/>
        <v>-85.54</v>
      </c>
    </row>
    <row r="37" spans="1:20" x14ac:dyDescent="0.3">
      <c r="A37" s="14" t="s">
        <v>5</v>
      </c>
      <c r="B37" s="14"/>
      <c r="C37" s="7"/>
      <c r="D37" s="7"/>
      <c r="E37" s="7"/>
      <c r="F37" s="7"/>
      <c r="G37" s="7"/>
      <c r="H37" s="7"/>
      <c r="I37" s="7"/>
      <c r="J37" s="7"/>
      <c r="K37" s="7"/>
      <c r="L37" s="7"/>
      <c r="M37" s="7"/>
      <c r="N37" s="7"/>
      <c r="O37" s="7"/>
      <c r="P37" s="8"/>
      <c r="R37" s="218"/>
      <c r="S37" s="213" t="s">
        <v>126</v>
      </c>
    </row>
    <row r="38" spans="1:20" x14ac:dyDescent="0.3">
      <c r="B38" s="18" t="s">
        <v>206</v>
      </c>
      <c r="C38" s="19">
        <v>0</v>
      </c>
      <c r="D38" s="19">
        <v>0</v>
      </c>
      <c r="E38" s="19">
        <v>0</v>
      </c>
      <c r="F38" s="19">
        <v>0</v>
      </c>
      <c r="G38" s="19">
        <v>0</v>
      </c>
      <c r="H38" s="19">
        <v>0</v>
      </c>
      <c r="I38" s="19">
        <v>0</v>
      </c>
      <c r="J38" s="19">
        <v>0</v>
      </c>
      <c r="K38" s="19">
        <v>0</v>
      </c>
      <c r="L38" s="19">
        <v>0</v>
      </c>
      <c r="M38" s="19">
        <v>-4840</v>
      </c>
      <c r="N38" s="19">
        <v>0</v>
      </c>
      <c r="O38" s="19"/>
      <c r="P38" s="20">
        <f>SUM(C38:O38)</f>
        <v>-4840</v>
      </c>
      <c r="Q38" s="210">
        <f>-'FY25 Budget'!O37</f>
        <v>-4500</v>
      </c>
      <c r="R38" s="218"/>
      <c r="S38" s="213">
        <f t="shared" si="5"/>
        <v>-4500</v>
      </c>
      <c r="T38" s="219">
        <f>P38-S38</f>
        <v>-340</v>
      </c>
    </row>
    <row r="39" spans="1:20" x14ac:dyDescent="0.3">
      <c r="B39" s="18" t="s">
        <v>11</v>
      </c>
      <c r="C39" s="19">
        <v>0</v>
      </c>
      <c r="D39" s="19">
        <v>0</v>
      </c>
      <c r="E39" s="19">
        <v>59</v>
      </c>
      <c r="F39" s="19">
        <v>0</v>
      </c>
      <c r="G39" s="19">
        <v>0</v>
      </c>
      <c r="H39" s="19">
        <f>-534.75</f>
        <v>-534.75</v>
      </c>
      <c r="I39" s="19">
        <v>0</v>
      </c>
      <c r="J39" s="19">
        <v>0</v>
      </c>
      <c r="K39" s="19">
        <v>0</v>
      </c>
      <c r="L39" s="19">
        <v>0</v>
      </c>
      <c r="M39" s="19">
        <v>0</v>
      </c>
      <c r="N39" s="19">
        <v>0</v>
      </c>
      <c r="O39" s="19"/>
      <c r="P39" s="20">
        <f>SUM(C39:O39)</f>
        <v>-475.75</v>
      </c>
      <c r="Q39" s="210">
        <f>-'FY25 Budget'!O38</f>
        <v>-610</v>
      </c>
      <c r="R39" s="218"/>
      <c r="S39" s="213">
        <f t="shared" si="5"/>
        <v>-610</v>
      </c>
      <c r="T39" s="219">
        <f>P39-S39</f>
        <v>134.25</v>
      </c>
    </row>
    <row r="40" spans="1:20" x14ac:dyDescent="0.3">
      <c r="A40" s="14" t="s">
        <v>14</v>
      </c>
      <c r="B40" s="14"/>
      <c r="C40" s="13"/>
      <c r="D40" s="7"/>
      <c r="E40" s="13"/>
      <c r="F40" s="13"/>
      <c r="G40" s="7"/>
      <c r="H40" s="7"/>
      <c r="I40" s="7"/>
      <c r="J40" s="7"/>
      <c r="K40" s="7"/>
      <c r="L40" s="7"/>
      <c r="M40" s="7"/>
      <c r="N40" s="7"/>
      <c r="O40" s="7"/>
      <c r="P40" s="8"/>
      <c r="R40" s="218"/>
    </row>
    <row r="41" spans="1:20" x14ac:dyDescent="0.3">
      <c r="B41" s="18" t="s">
        <v>22</v>
      </c>
      <c r="C41" s="19">
        <f>-4-8</f>
        <v>-12</v>
      </c>
      <c r="D41" s="19">
        <f>-4-8</f>
        <v>-12</v>
      </c>
      <c r="E41" s="24">
        <v>-4</v>
      </c>
      <c r="F41" s="24">
        <f>-4</f>
        <v>-4</v>
      </c>
      <c r="G41" s="19">
        <f>-5</f>
        <v>-5</v>
      </c>
      <c r="H41" s="19">
        <v>-5</v>
      </c>
      <c r="I41" s="19">
        <v>-5</v>
      </c>
      <c r="J41" s="19">
        <v>-5</v>
      </c>
      <c r="K41" s="19">
        <f>-5</f>
        <v>-5</v>
      </c>
      <c r="L41" s="19">
        <v>-5</v>
      </c>
      <c r="M41" s="19">
        <v>-15</v>
      </c>
      <c r="N41" s="19">
        <v>-5</v>
      </c>
      <c r="O41" s="19">
        <v>8</v>
      </c>
      <c r="P41" s="20">
        <f t="shared" ref="P39:P43" si="7">SUM(C41:O41)</f>
        <v>-74</v>
      </c>
      <c r="Q41" s="210">
        <f>-'FY25 Budget'!O40</f>
        <v>-24</v>
      </c>
      <c r="R41" s="218"/>
      <c r="S41" s="213">
        <f t="shared" si="5"/>
        <v>-24</v>
      </c>
      <c r="T41" s="219">
        <f>P41-S41</f>
        <v>-50</v>
      </c>
    </row>
    <row r="42" spans="1:20" x14ac:dyDescent="0.3">
      <c r="B42" s="18" t="s">
        <v>102</v>
      </c>
      <c r="C42" s="19">
        <f>-121.42</f>
        <v>-121.42</v>
      </c>
      <c r="D42" s="19">
        <v>-267</v>
      </c>
      <c r="E42" s="24">
        <v>-98.25</v>
      </c>
      <c r="F42" s="24">
        <f>-98.25</f>
        <v>-98.25</v>
      </c>
      <c r="G42" s="19">
        <f>-203.99</f>
        <v>-203.99</v>
      </c>
      <c r="H42" s="19">
        <f>-98.25</f>
        <v>-98.25</v>
      </c>
      <c r="I42" s="19">
        <v>-98.25</v>
      </c>
      <c r="J42" s="19">
        <v>-98.25</v>
      </c>
      <c r="K42" s="19">
        <v>-98.25</v>
      </c>
      <c r="L42" s="19">
        <f>-350.01</f>
        <v>-350.01</v>
      </c>
      <c r="M42" s="19">
        <v>-118.23</v>
      </c>
      <c r="N42" s="19">
        <v>-121.44</v>
      </c>
      <c r="O42" s="19"/>
      <c r="P42" s="20">
        <f t="shared" si="7"/>
        <v>-1771.5900000000001</v>
      </c>
      <c r="Q42" s="210">
        <f>-'FY25 Budget'!O41</f>
        <v>-1209.5999999999997</v>
      </c>
      <c r="R42" s="218"/>
      <c r="S42" s="213">
        <f t="shared" si="5"/>
        <v>-1209.5999999999997</v>
      </c>
      <c r="T42" s="219">
        <f>P42-S42</f>
        <v>-561.99000000000046</v>
      </c>
    </row>
    <row r="43" spans="1:20" x14ac:dyDescent="0.3">
      <c r="B43" s="18" t="s">
        <v>6</v>
      </c>
      <c r="C43" s="19">
        <v>-204.66</v>
      </c>
      <c r="D43" s="19">
        <v>-179.64</v>
      </c>
      <c r="E43" s="24">
        <v>-179.65</v>
      </c>
      <c r="F43" s="24">
        <f>-97.88</f>
        <v>-97.88</v>
      </c>
      <c r="G43" s="19">
        <f>-152.94</f>
        <v>-152.94</v>
      </c>
      <c r="H43" s="19">
        <f>-142.25</f>
        <v>-142.25</v>
      </c>
      <c r="I43" s="19">
        <v>-142.26</v>
      </c>
      <c r="J43" s="19">
        <v>-167.53</v>
      </c>
      <c r="K43" s="19">
        <f>-137.69</f>
        <v>-137.69</v>
      </c>
      <c r="L43" s="19">
        <f>-134.5</f>
        <v>-134.5</v>
      </c>
      <c r="M43" s="19">
        <v>-163.72</v>
      </c>
      <c r="N43" s="19">
        <v>-134.49</v>
      </c>
      <c r="O43" s="19"/>
      <c r="P43" s="20">
        <f t="shared" si="7"/>
        <v>-1837.21</v>
      </c>
      <c r="Q43" s="210">
        <f>-'FY25 Budget'!O42</f>
        <v>-2244</v>
      </c>
      <c r="R43" s="218"/>
      <c r="S43" s="213">
        <f t="shared" si="5"/>
        <v>-2244</v>
      </c>
      <c r="T43" s="219">
        <f>P43-S43</f>
        <v>406.78999999999996</v>
      </c>
    </row>
    <row r="44" spans="1:20" x14ac:dyDescent="0.3">
      <c r="B44" s="18" t="s">
        <v>7</v>
      </c>
      <c r="C44" s="19">
        <v>-1293.75</v>
      </c>
      <c r="D44" s="19">
        <v>-1293.75</v>
      </c>
      <c r="E44" s="24">
        <v>-1293.75</v>
      </c>
      <c r="F44" s="24">
        <v>-1293.75</v>
      </c>
      <c r="G44" s="19">
        <f>-1293.75</f>
        <v>-1293.75</v>
      </c>
      <c r="H44" s="19">
        <f>-1293.75</f>
        <v>-1293.75</v>
      </c>
      <c r="I44" s="19">
        <v>-1293.75</v>
      </c>
      <c r="J44" s="19">
        <v>-1293.75</v>
      </c>
      <c r="K44" s="19">
        <f>-1293.75</f>
        <v>-1293.75</v>
      </c>
      <c r="L44" s="19">
        <f>-1293.75</f>
        <v>-1293.75</v>
      </c>
      <c r="M44" s="19">
        <v>-1575</v>
      </c>
      <c r="N44" s="19">
        <v>-1293.75</v>
      </c>
      <c r="O44" s="19"/>
      <c r="P44" s="20">
        <f>SUM(C44:O44)</f>
        <v>-15806.25</v>
      </c>
      <c r="Q44" s="210">
        <f>-'FY25 Budget'!O43</f>
        <v>-15525</v>
      </c>
      <c r="R44" s="218"/>
      <c r="S44" s="213">
        <f t="shared" si="5"/>
        <v>-15525</v>
      </c>
      <c r="T44" s="219">
        <f>P44-S44</f>
        <v>-281.25</v>
      </c>
    </row>
    <row r="45" spans="1:20" x14ac:dyDescent="0.3">
      <c r="A45" s="14" t="s">
        <v>4</v>
      </c>
      <c r="B45" s="14"/>
      <c r="C45" s="7"/>
      <c r="D45" s="7"/>
      <c r="E45" s="13"/>
      <c r="F45" s="13"/>
      <c r="G45" s="7"/>
      <c r="H45" s="7"/>
      <c r="I45" s="7"/>
      <c r="J45" s="7"/>
      <c r="K45" s="7"/>
      <c r="L45" s="7"/>
      <c r="M45" s="7"/>
      <c r="N45" s="7"/>
      <c r="O45" s="7"/>
      <c r="P45" s="8"/>
      <c r="R45" s="218"/>
    </row>
    <row r="46" spans="1:20" x14ac:dyDescent="0.3">
      <c r="B46" s="18" t="s">
        <v>15</v>
      </c>
      <c r="C46" s="25">
        <v>-1135.81</v>
      </c>
      <c r="D46" s="19">
        <v>-745.66</v>
      </c>
      <c r="E46" s="25">
        <v>-717.81</v>
      </c>
      <c r="F46" s="25">
        <v>-782.62</v>
      </c>
      <c r="G46" s="25">
        <v>0</v>
      </c>
      <c r="H46" s="25">
        <f>-929.49</f>
        <v>-929.49</v>
      </c>
      <c r="I46" s="25">
        <v>-1072.96</v>
      </c>
      <c r="J46" s="25">
        <f>-872.25+85.54</f>
        <v>-786.71</v>
      </c>
      <c r="K46" s="25">
        <f>-985.92</f>
        <v>-985.92</v>
      </c>
      <c r="L46" s="25">
        <f>-1446.33</f>
        <v>-1446.33</v>
      </c>
      <c r="M46" s="25">
        <v>-1780.12</v>
      </c>
      <c r="N46" s="25">
        <f>-726.72-664.98</f>
        <v>-1391.7</v>
      </c>
      <c r="O46" s="25"/>
      <c r="P46" s="20">
        <f>SUM(C46:O46)</f>
        <v>-11775.130000000001</v>
      </c>
      <c r="Q46" s="210">
        <f>-'FY25 Budget'!O45</f>
        <v>-11088</v>
      </c>
      <c r="R46" s="218"/>
      <c r="S46" s="213">
        <f t="shared" si="5"/>
        <v>-11088</v>
      </c>
      <c r="T46" s="219">
        <f>P46-S46</f>
        <v>-687.13000000000102</v>
      </c>
    </row>
    <row r="47" spans="1:20" x14ac:dyDescent="0.3">
      <c r="A47" s="14" t="s">
        <v>188</v>
      </c>
      <c r="B47" s="14"/>
      <c r="C47" s="136"/>
      <c r="D47" s="147"/>
      <c r="E47" s="136"/>
      <c r="F47" s="136"/>
      <c r="G47" s="136"/>
      <c r="H47" s="136"/>
      <c r="I47" s="136"/>
      <c r="J47" s="136"/>
      <c r="K47" s="136"/>
      <c r="L47" s="136"/>
      <c r="M47" s="136"/>
      <c r="N47" s="136"/>
      <c r="O47" s="136"/>
      <c r="P47" s="137"/>
      <c r="R47" s="218"/>
    </row>
    <row r="48" spans="1:20" ht="14.4" thickBot="1" x14ac:dyDescent="0.35">
      <c r="B48" s="21" t="s">
        <v>188</v>
      </c>
      <c r="C48" s="26">
        <v>0</v>
      </c>
      <c r="D48" s="22">
        <v>0</v>
      </c>
      <c r="E48" s="26">
        <v>0</v>
      </c>
      <c r="F48" s="26">
        <v>0</v>
      </c>
      <c r="G48" s="26">
        <v>0</v>
      </c>
      <c r="H48" s="26">
        <v>0</v>
      </c>
      <c r="I48" s="26">
        <v>0</v>
      </c>
      <c r="J48" s="26">
        <v>0</v>
      </c>
      <c r="K48" s="26">
        <v>0</v>
      </c>
      <c r="L48" s="26">
        <v>0</v>
      </c>
      <c r="M48" s="26">
        <v>0</v>
      </c>
      <c r="N48" s="26"/>
      <c r="O48" s="26"/>
      <c r="P48" s="20"/>
      <c r="Q48" s="210">
        <f>-'FY25 Budget'!O47</f>
        <v>-7200</v>
      </c>
      <c r="R48" s="218"/>
      <c r="S48" s="213">
        <f t="shared" si="5"/>
        <v>-6600</v>
      </c>
      <c r="T48" s="219">
        <f>P48-S48</f>
        <v>6600</v>
      </c>
    </row>
    <row r="49" spans="2:20" ht="14.4" thickBot="1" x14ac:dyDescent="0.35">
      <c r="B49" s="9" t="s">
        <v>32</v>
      </c>
      <c r="C49" s="10">
        <f>SUM(C13:C48)</f>
        <v>-3043.8199999999997</v>
      </c>
      <c r="D49" s="10">
        <f t="shared" ref="D49:O49" si="8">SUM(D13:D48)</f>
        <v>-3652.79</v>
      </c>
      <c r="E49" s="10">
        <f t="shared" si="8"/>
        <v>-5428.74</v>
      </c>
      <c r="F49" s="10">
        <f t="shared" si="8"/>
        <v>-7283.3</v>
      </c>
      <c r="G49" s="10">
        <f t="shared" si="8"/>
        <v>-3449.44</v>
      </c>
      <c r="H49" s="10">
        <f t="shared" si="8"/>
        <v>-5134.84</v>
      </c>
      <c r="I49" s="10">
        <f t="shared" si="8"/>
        <v>-3072.6</v>
      </c>
      <c r="J49" s="10">
        <f t="shared" si="8"/>
        <v>-4614.1200000000008</v>
      </c>
      <c r="K49" s="10">
        <f t="shared" si="8"/>
        <v>-4113.7700000000004</v>
      </c>
      <c r="L49" s="10">
        <f t="shared" si="8"/>
        <v>-4402.29</v>
      </c>
      <c r="M49" s="10">
        <f t="shared" si="8"/>
        <v>-14772.009999999998</v>
      </c>
      <c r="N49" s="10">
        <f t="shared" si="8"/>
        <v>-8014.4699999999993</v>
      </c>
      <c r="O49" s="10">
        <f t="shared" si="8"/>
        <v>189.47000000000003</v>
      </c>
      <c r="P49" s="11">
        <f>SUM(C49:O49)</f>
        <v>-66792.72</v>
      </c>
      <c r="Q49" s="229">
        <f>SUM(Q13:Q48)</f>
        <v>-82271.28</v>
      </c>
      <c r="R49" s="218"/>
      <c r="S49" s="230">
        <f>SUM(S7:S48)</f>
        <v>-3206.3400000000111</v>
      </c>
      <c r="T49" s="231">
        <f>SUM(T7:T48)</f>
        <v>21711.729999999981</v>
      </c>
    </row>
    <row r="50" spans="2:20" s="58" customFormat="1" x14ac:dyDescent="0.3">
      <c r="B50" s="58" t="s">
        <v>106</v>
      </c>
      <c r="C50" s="60">
        <f>-'FY25 Budget'!C48</f>
        <v>-5441.55</v>
      </c>
      <c r="D50" s="60">
        <f>-'FY25 Budget'!D48</f>
        <v>-5450.55</v>
      </c>
      <c r="E50" s="60">
        <f>-'FY25 Budget'!E48</f>
        <v>-11205.35</v>
      </c>
      <c r="F50" s="60">
        <f>-'FY25 Budget'!F48</f>
        <v>-5450.55</v>
      </c>
      <c r="G50" s="60">
        <f>-'FY25 Budget'!G48</f>
        <v>-6934.55</v>
      </c>
      <c r="H50" s="60">
        <f>-'FY25 Budget'!H48</f>
        <v>-6602.05</v>
      </c>
      <c r="I50" s="60">
        <f>-'FY25 Budget'!I48</f>
        <v>-5441.55</v>
      </c>
      <c r="J50" s="60">
        <f>-'FY25 Budget'!J48</f>
        <v>-5450.55</v>
      </c>
      <c r="K50" s="60">
        <f>-'FY25 Budget'!K48</f>
        <v>-6566.55</v>
      </c>
      <c r="L50" s="60">
        <f>-'FY25 Budget'!L48</f>
        <v>-10690.43</v>
      </c>
      <c r="M50" s="60">
        <f>-'FY25 Budget'!M48</f>
        <v>-7448.55</v>
      </c>
      <c r="N50" s="60">
        <f>-'FY25 Budget'!N48</f>
        <v>-5589.05</v>
      </c>
      <c r="O50" s="60"/>
      <c r="P50" s="60">
        <f>-'FY25 Budget'!O48</f>
        <v>-82271.280000000028</v>
      </c>
      <c r="Q50" s="210"/>
      <c r="R50" s="218"/>
      <c r="S50" s="213"/>
      <c r="T50" s="219"/>
    </row>
    <row r="51" spans="2:20" s="63" customFormat="1" x14ac:dyDescent="0.3">
      <c r="B51" s="63" t="s">
        <v>107</v>
      </c>
      <c r="C51" s="211">
        <f>C49-C50</f>
        <v>2397.7300000000005</v>
      </c>
      <c r="D51" s="211">
        <f t="shared" ref="D51:P51" si="9">D49-D50</f>
        <v>1797.7600000000002</v>
      </c>
      <c r="E51" s="211">
        <f t="shared" si="9"/>
        <v>5776.6100000000006</v>
      </c>
      <c r="F51" s="211">
        <f t="shared" si="9"/>
        <v>-1832.75</v>
      </c>
      <c r="G51" s="211">
        <f t="shared" si="9"/>
        <v>3485.11</v>
      </c>
      <c r="H51" s="211">
        <f t="shared" si="9"/>
        <v>1467.21</v>
      </c>
      <c r="I51" s="211">
        <f t="shared" si="9"/>
        <v>2368.9500000000003</v>
      </c>
      <c r="J51" s="211">
        <f t="shared" si="9"/>
        <v>836.42999999999938</v>
      </c>
      <c r="K51" s="211">
        <f t="shared" si="9"/>
        <v>2452.7799999999997</v>
      </c>
      <c r="L51" s="211">
        <f t="shared" si="9"/>
        <v>6288.14</v>
      </c>
      <c r="M51" s="211">
        <f t="shared" si="9"/>
        <v>-7323.4599999999982</v>
      </c>
      <c r="N51" s="211">
        <f t="shared" si="9"/>
        <v>-2425.4199999999992</v>
      </c>
      <c r="O51" s="211"/>
      <c r="P51" s="211">
        <f t="shared" si="9"/>
        <v>15478.560000000027</v>
      </c>
      <c r="Q51" s="212"/>
      <c r="R51" s="223"/>
      <c r="S51" s="213"/>
      <c r="T51" s="219"/>
    </row>
    <row r="52" spans="2:20" s="58" customFormat="1" x14ac:dyDescent="0.3">
      <c r="C52" s="60"/>
      <c r="D52" s="60"/>
      <c r="E52" s="60"/>
      <c r="F52" s="60"/>
      <c r="G52" s="60"/>
      <c r="H52" s="60"/>
      <c r="I52" s="60"/>
      <c r="J52" s="60"/>
      <c r="K52" s="60"/>
      <c r="L52" s="60"/>
      <c r="M52" s="60"/>
      <c r="N52" s="60"/>
      <c r="O52" s="60"/>
      <c r="P52" s="61"/>
      <c r="Q52" s="210"/>
      <c r="R52" s="218"/>
      <c r="S52" s="213"/>
      <c r="T52" s="219"/>
    </row>
    <row r="53" spans="2:20" x14ac:dyDescent="0.3">
      <c r="B53" s="2" t="s">
        <v>96</v>
      </c>
      <c r="C53" s="7">
        <f t="shared" ref="C53:O53" si="10">C7+C49</f>
        <v>-949.4699999999998</v>
      </c>
      <c r="D53" s="7">
        <f t="shared" si="10"/>
        <v>8915.11</v>
      </c>
      <c r="E53" s="7">
        <f t="shared" si="10"/>
        <v>-3636.8399999999997</v>
      </c>
      <c r="F53" s="7">
        <f t="shared" si="10"/>
        <v>4330.5700000000006</v>
      </c>
      <c r="G53" s="7">
        <f t="shared" si="10"/>
        <v>-2104.21</v>
      </c>
      <c r="H53" s="7">
        <f t="shared" si="10"/>
        <v>9865.41</v>
      </c>
      <c r="I53" s="7">
        <f t="shared" si="10"/>
        <v>-2019.35</v>
      </c>
      <c r="J53" s="7">
        <f t="shared" si="10"/>
        <v>7054.659999999998</v>
      </c>
      <c r="K53" s="7">
        <f t="shared" si="10"/>
        <v>-2989.9400000000005</v>
      </c>
      <c r="L53" s="7">
        <f t="shared" si="10"/>
        <v>7943.2199999999984</v>
      </c>
      <c r="M53" s="7">
        <f t="shared" si="10"/>
        <v>-12395.279999999999</v>
      </c>
      <c r="N53" s="7">
        <f t="shared" si="10"/>
        <v>3648.34</v>
      </c>
      <c r="O53" s="7">
        <f t="shared" si="10"/>
        <v>843.17000000000007</v>
      </c>
      <c r="P53" s="8">
        <f>SUM(C53:O53)</f>
        <v>18505.39</v>
      </c>
      <c r="R53" s="218"/>
      <c r="S53" s="68"/>
      <c r="T53" s="209"/>
    </row>
    <row r="54" spans="2:20" s="58" customFormat="1" x14ac:dyDescent="0.3">
      <c r="B54" s="58" t="s">
        <v>97</v>
      </c>
      <c r="C54" s="60">
        <f t="shared" ref="C54:N54" si="11">C8+C50</f>
        <v>-3754.9500000000003</v>
      </c>
      <c r="D54" s="60">
        <f t="shared" si="11"/>
        <v>6526.05</v>
      </c>
      <c r="E54" s="60">
        <f t="shared" si="11"/>
        <v>-9338.75</v>
      </c>
      <c r="F54" s="60">
        <f t="shared" si="11"/>
        <v>6526.05</v>
      </c>
      <c r="G54" s="60">
        <f t="shared" si="11"/>
        <v>-5217.9500000000007</v>
      </c>
      <c r="H54" s="60">
        <f t="shared" si="11"/>
        <v>364.55000000000018</v>
      </c>
      <c r="I54" s="60">
        <f t="shared" si="11"/>
        <v>1525.0500000000002</v>
      </c>
      <c r="J54" s="60">
        <f t="shared" si="11"/>
        <v>1516.0500000000002</v>
      </c>
      <c r="K54" s="60">
        <f t="shared" si="11"/>
        <v>400.05000000000018</v>
      </c>
      <c r="L54" s="60">
        <f t="shared" si="11"/>
        <v>-3723.83</v>
      </c>
      <c r="M54" s="60">
        <f t="shared" si="11"/>
        <v>-481.94999999999982</v>
      </c>
      <c r="N54" s="60">
        <f t="shared" si="11"/>
        <v>1377.5500000000002</v>
      </c>
      <c r="O54" s="60"/>
      <c r="P54" s="213">
        <f>SUM(C54:O54)</f>
        <v>-4282.079999999999</v>
      </c>
      <c r="Q54" s="210"/>
      <c r="R54" s="218"/>
      <c r="S54" s="68"/>
      <c r="T54" s="209"/>
    </row>
    <row r="55" spans="2:20" x14ac:dyDescent="0.3">
      <c r="C55" s="7"/>
      <c r="D55" s="7"/>
      <c r="E55" s="7"/>
      <c r="F55" s="7"/>
      <c r="G55" s="7"/>
      <c r="H55" s="7"/>
      <c r="I55" s="7"/>
      <c r="J55" s="7"/>
      <c r="K55" s="7"/>
      <c r="L55" s="7"/>
      <c r="M55" s="7"/>
      <c r="N55" s="16"/>
      <c r="O55" s="16"/>
      <c r="P55" s="180"/>
      <c r="R55" s="218"/>
      <c r="S55" s="68"/>
      <c r="T55" s="209"/>
    </row>
    <row r="56" spans="2:20" x14ac:dyDescent="0.3">
      <c r="C56" s="7"/>
      <c r="D56" s="7"/>
      <c r="E56" s="7"/>
      <c r="F56" s="7"/>
      <c r="G56" s="7"/>
      <c r="H56" s="7"/>
      <c r="I56" s="7"/>
      <c r="J56" s="7"/>
      <c r="K56" s="7"/>
      <c r="L56" s="7"/>
      <c r="M56" s="382"/>
      <c r="N56" s="385"/>
      <c r="O56" s="383" t="s">
        <v>301</v>
      </c>
      <c r="P56" s="384">
        <f>P7+P49</f>
        <v>18505.389999999985</v>
      </c>
      <c r="R56" s="218"/>
    </row>
    <row r="57" spans="2:20" x14ac:dyDescent="0.3">
      <c r="C57" s="13"/>
      <c r="D57" s="7"/>
      <c r="E57" s="13"/>
      <c r="F57" s="13"/>
      <c r="G57" s="13"/>
      <c r="H57" s="13"/>
      <c r="I57" s="13"/>
      <c r="J57" s="13"/>
      <c r="K57" s="13"/>
      <c r="L57" s="13"/>
      <c r="M57" s="13"/>
      <c r="N57" s="13"/>
      <c r="O57" s="13"/>
      <c r="P57" s="345"/>
    </row>
    <row r="58" spans="2:20" x14ac:dyDescent="0.3">
      <c r="C58" s="13"/>
      <c r="D58" s="7"/>
      <c r="E58" s="13"/>
      <c r="F58" s="13"/>
      <c r="G58" s="13"/>
      <c r="H58" s="13"/>
      <c r="I58" s="13"/>
      <c r="J58" s="13"/>
      <c r="K58" s="13"/>
      <c r="L58" s="13"/>
      <c r="M58" s="13"/>
      <c r="N58" s="13"/>
      <c r="O58" s="13"/>
      <c r="P58" s="12"/>
    </row>
  </sheetData>
  <mergeCells count="1">
    <mergeCell ref="A1:P1"/>
  </mergeCells>
  <conditionalFormatting sqref="P56">
    <cfRule type="cellIs" dxfId="2" priority="1" operator="notEqual">
      <formula>$P$53</formula>
    </cfRule>
  </conditionalFormatting>
  <pageMargins left="0.25" right="0" top="0.25" bottom="0" header="0" footer="0"/>
  <pageSetup scale="65"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DE384-7FE8-4A32-AED2-4DA870FC6B8F}">
  <sheetPr>
    <tabColor rgb="FFFFCCFF"/>
  </sheetPr>
  <dimension ref="A1:U19"/>
  <sheetViews>
    <sheetView workbookViewId="0"/>
  </sheetViews>
  <sheetFormatPr defaultRowHeight="17.399999999999999" x14ac:dyDescent="0.3"/>
  <cols>
    <col min="1" max="1" width="6.84375" bestFit="1" customWidth="1"/>
    <col min="2" max="2" width="10.07421875" bestFit="1" customWidth="1"/>
    <col min="3" max="3" width="7.4609375" customWidth="1"/>
    <col min="4" max="4" width="6.69140625" customWidth="1"/>
    <col min="5" max="5" width="6.84375" bestFit="1" customWidth="1"/>
    <col min="6" max="7" width="6.84375" customWidth="1"/>
    <col min="8" max="8" width="7.84375" style="49" bestFit="1" customWidth="1"/>
    <col min="9" max="9" width="9.3828125" customWidth="1"/>
    <col min="10" max="10" width="10.69140625" style="36" bestFit="1" customWidth="1"/>
  </cols>
  <sheetData>
    <row r="1" spans="1:21" ht="18" x14ac:dyDescent="0.3">
      <c r="A1" s="50" t="s">
        <v>45</v>
      </c>
      <c r="B1" s="50"/>
      <c r="C1" s="130"/>
      <c r="D1" s="130" t="s">
        <v>41</v>
      </c>
      <c r="E1" s="130"/>
      <c r="F1" s="130"/>
      <c r="G1" s="130"/>
      <c r="H1" s="130"/>
      <c r="I1" s="130"/>
    </row>
    <row r="2" spans="1:21" s="41" customFormat="1" ht="54" x14ac:dyDescent="0.35">
      <c r="A2" s="37"/>
      <c r="B2" s="37" t="s">
        <v>42</v>
      </c>
      <c r="C2" s="39" t="s">
        <v>170</v>
      </c>
      <c r="D2" s="37" t="s">
        <v>43</v>
      </c>
      <c r="E2" s="37" t="s">
        <v>195</v>
      </c>
      <c r="F2" s="37" t="s">
        <v>196</v>
      </c>
      <c r="G2" s="37" t="s">
        <v>197</v>
      </c>
      <c r="H2" s="38" t="s">
        <v>9</v>
      </c>
      <c r="I2" s="39" t="s">
        <v>44</v>
      </c>
      <c r="J2" s="40"/>
      <c r="K2" s="30"/>
      <c r="L2" s="30"/>
      <c r="M2" s="30"/>
      <c r="N2" s="30"/>
      <c r="O2" s="30"/>
      <c r="P2" s="30"/>
      <c r="Q2" s="30"/>
      <c r="R2" s="30"/>
      <c r="S2" s="30"/>
      <c r="T2" s="30"/>
      <c r="U2" s="30"/>
    </row>
    <row r="3" spans="1:21" ht="18" x14ac:dyDescent="0.35">
      <c r="A3" s="42">
        <v>45566</v>
      </c>
      <c r="B3" s="43">
        <v>1990</v>
      </c>
      <c r="C3" s="43"/>
      <c r="D3" s="43">
        <v>1512</v>
      </c>
      <c r="E3" s="43">
        <v>539</v>
      </c>
      <c r="F3" s="43"/>
      <c r="G3" s="43"/>
      <c r="H3" s="44">
        <f>SUM(B3:G3)</f>
        <v>4041</v>
      </c>
      <c r="I3" s="45">
        <v>10</v>
      </c>
    </row>
    <row r="4" spans="1:21" ht="18" x14ac:dyDescent="0.35">
      <c r="A4" s="46">
        <v>45597</v>
      </c>
      <c r="B4" s="43">
        <v>0</v>
      </c>
      <c r="C4" s="43">
        <v>1229</v>
      </c>
      <c r="D4" s="43">
        <v>0</v>
      </c>
      <c r="E4" s="43">
        <v>1176</v>
      </c>
      <c r="F4" s="43"/>
      <c r="G4" s="43"/>
      <c r="H4" s="44">
        <f t="shared" ref="H4:H14" si="0">SUM(B4:G4)</f>
        <v>2405</v>
      </c>
      <c r="I4" s="45">
        <v>6</v>
      </c>
    </row>
    <row r="5" spans="1:21" ht="18" x14ac:dyDescent="0.35">
      <c r="A5" s="42">
        <v>45627</v>
      </c>
      <c r="B5" s="43">
        <v>1218</v>
      </c>
      <c r="C5" s="43">
        <v>0</v>
      </c>
      <c r="D5" s="43">
        <v>1392</v>
      </c>
      <c r="E5" s="43">
        <v>1176</v>
      </c>
      <c r="F5" s="43"/>
      <c r="G5" s="43"/>
      <c r="H5" s="44">
        <f t="shared" si="0"/>
        <v>3786</v>
      </c>
      <c r="I5" s="45">
        <v>7</v>
      </c>
    </row>
    <row r="6" spans="1:21" ht="18" x14ac:dyDescent="0.35">
      <c r="A6" s="46">
        <v>45658</v>
      </c>
      <c r="B6" s="43">
        <v>0</v>
      </c>
      <c r="C6" s="43">
        <v>696</v>
      </c>
      <c r="D6" s="43">
        <v>0</v>
      </c>
      <c r="E6" s="43">
        <v>1872</v>
      </c>
      <c r="F6" s="43"/>
      <c r="G6" s="43"/>
      <c r="H6" s="44">
        <f t="shared" si="0"/>
        <v>2568</v>
      </c>
      <c r="I6" s="45">
        <v>4</v>
      </c>
      <c r="J6" s="159"/>
    </row>
    <row r="7" spans="1:21" ht="18" x14ac:dyDescent="0.35">
      <c r="A7" s="42">
        <v>45689</v>
      </c>
      <c r="B7" s="43">
        <v>1386</v>
      </c>
      <c r="C7" s="43">
        <v>0</v>
      </c>
      <c r="D7" s="43">
        <v>1247</v>
      </c>
      <c r="E7" s="43">
        <v>1530</v>
      </c>
      <c r="F7" s="43"/>
      <c r="G7" s="43"/>
      <c r="H7" s="44">
        <f t="shared" si="0"/>
        <v>4163</v>
      </c>
      <c r="I7" s="45">
        <v>8</v>
      </c>
    </row>
    <row r="8" spans="1:21" ht="18" x14ac:dyDescent="0.35">
      <c r="A8" s="46">
        <v>45717</v>
      </c>
      <c r="B8" s="43">
        <v>0</v>
      </c>
      <c r="C8" s="43">
        <v>174</v>
      </c>
      <c r="D8" s="43">
        <v>0</v>
      </c>
      <c r="E8" s="43">
        <v>516</v>
      </c>
      <c r="F8" s="43"/>
      <c r="G8" s="43"/>
      <c r="H8" s="44">
        <f t="shared" si="0"/>
        <v>690</v>
      </c>
      <c r="I8" s="45">
        <v>1</v>
      </c>
    </row>
    <row r="9" spans="1:21" ht="18" x14ac:dyDescent="0.35">
      <c r="A9" s="42">
        <v>45748</v>
      </c>
      <c r="B9" s="43">
        <v>1061.1600000000001</v>
      </c>
      <c r="C9" s="43">
        <v>0</v>
      </c>
      <c r="D9" s="43">
        <v>505</v>
      </c>
      <c r="E9" s="43">
        <v>0</v>
      </c>
      <c r="F9" s="43">
        <v>516</v>
      </c>
      <c r="G9" s="43"/>
      <c r="H9" s="44">
        <f t="shared" si="0"/>
        <v>2082.16</v>
      </c>
      <c r="I9" s="45">
        <v>7</v>
      </c>
    </row>
    <row r="10" spans="1:21" ht="18" x14ac:dyDescent="0.35">
      <c r="A10" s="46">
        <v>45778</v>
      </c>
      <c r="B10" s="43">
        <v>0</v>
      </c>
      <c r="C10" s="43">
        <v>365.16</v>
      </c>
      <c r="D10" s="43">
        <v>0</v>
      </c>
      <c r="E10" s="43">
        <v>0</v>
      </c>
      <c r="F10" s="43">
        <v>719</v>
      </c>
      <c r="G10" s="43"/>
      <c r="H10" s="44">
        <f t="shared" si="0"/>
        <v>1084.1600000000001</v>
      </c>
      <c r="I10" s="45">
        <v>3</v>
      </c>
    </row>
    <row r="11" spans="1:21" ht="18" x14ac:dyDescent="0.35">
      <c r="A11" s="42">
        <v>45809</v>
      </c>
      <c r="B11" s="43">
        <v>2243</v>
      </c>
      <c r="C11" s="43">
        <v>0</v>
      </c>
      <c r="D11" s="43">
        <v>1184</v>
      </c>
      <c r="E11" s="43">
        <v>690</v>
      </c>
      <c r="F11" s="43"/>
      <c r="G11" s="43"/>
      <c r="H11" s="44">
        <f t="shared" si="0"/>
        <v>4117</v>
      </c>
      <c r="I11" s="45">
        <v>12</v>
      </c>
    </row>
    <row r="12" spans="1:21" ht="18" x14ac:dyDescent="0.35">
      <c r="A12" s="46">
        <v>45839</v>
      </c>
      <c r="B12" s="43">
        <v>0</v>
      </c>
      <c r="C12" s="43">
        <v>677.7</v>
      </c>
      <c r="D12" s="43">
        <v>0</v>
      </c>
      <c r="E12" s="43">
        <v>348</v>
      </c>
      <c r="F12" s="43"/>
      <c r="G12" s="43"/>
      <c r="H12" s="44">
        <f t="shared" si="0"/>
        <v>1025.7</v>
      </c>
      <c r="I12" s="45">
        <v>3</v>
      </c>
      <c r="K12" s="36"/>
    </row>
    <row r="13" spans="1:21" ht="18" x14ac:dyDescent="0.35">
      <c r="A13" s="42">
        <v>45870</v>
      </c>
      <c r="B13" s="43">
        <v>1392</v>
      </c>
      <c r="C13" s="43">
        <v>0</v>
      </c>
      <c r="D13" s="43">
        <v>1082</v>
      </c>
      <c r="E13" s="43">
        <v>174</v>
      </c>
      <c r="F13" s="43"/>
      <c r="G13" s="43"/>
      <c r="H13" s="44">
        <f t="shared" si="0"/>
        <v>2648</v>
      </c>
      <c r="I13" s="45">
        <v>8</v>
      </c>
    </row>
    <row r="14" spans="1:21" ht="18" x14ac:dyDescent="0.35">
      <c r="A14" s="46">
        <v>45901</v>
      </c>
      <c r="B14" s="43">
        <v>210</v>
      </c>
      <c r="C14" s="43">
        <v>1208</v>
      </c>
      <c r="D14" s="43">
        <v>0</v>
      </c>
      <c r="E14" s="43">
        <v>1008</v>
      </c>
      <c r="F14" s="43"/>
      <c r="G14" s="43"/>
      <c r="H14" s="44">
        <f t="shared" si="0"/>
        <v>2426</v>
      </c>
      <c r="I14" s="47">
        <v>7</v>
      </c>
    </row>
    <row r="15" spans="1:21" x14ac:dyDescent="0.3">
      <c r="B15" s="48"/>
      <c r="C15" s="48"/>
      <c r="D15" s="48"/>
      <c r="E15" s="48"/>
      <c r="F15" s="48"/>
      <c r="G15" s="48"/>
    </row>
    <row r="16" spans="1:21" x14ac:dyDescent="0.3">
      <c r="A16" s="36"/>
      <c r="B16" s="176"/>
      <c r="C16" s="176"/>
      <c r="D16" s="176"/>
      <c r="E16" s="176"/>
      <c r="F16" s="176"/>
      <c r="G16" s="48"/>
    </row>
    <row r="17" spans="2:7" x14ac:dyDescent="0.3">
      <c r="B17" s="48"/>
      <c r="C17" s="48"/>
      <c r="D17" s="48"/>
      <c r="E17" s="48"/>
      <c r="F17" s="48"/>
      <c r="G17" s="48"/>
    </row>
    <row r="18" spans="2:7" x14ac:dyDescent="0.3">
      <c r="B18" s="48"/>
      <c r="C18" s="48"/>
      <c r="D18" s="48"/>
      <c r="E18" s="48"/>
      <c r="F18" s="48"/>
      <c r="G18" s="48"/>
    </row>
    <row r="19" spans="2:7" x14ac:dyDescent="0.3">
      <c r="B19" s="48"/>
      <c r="C19" s="48"/>
      <c r="D19" s="48"/>
      <c r="E19" s="48"/>
      <c r="F19" s="48"/>
      <c r="G19" s="48"/>
    </row>
  </sheetData>
  <pageMargins left="0.25" right="0.25"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A9E4F-EBA9-4F21-9465-470ADB920276}">
  <sheetPr>
    <tabColor rgb="FFFFC000"/>
  </sheetPr>
  <dimension ref="A1:AE99"/>
  <sheetViews>
    <sheetView zoomScale="89" zoomScaleNormal="89" workbookViewId="0">
      <pane xSplit="2" ySplit="3" topLeftCell="C91" activePane="bottomRight" state="frozen"/>
      <selection pane="topRight" activeCell="C1" sqref="C1"/>
      <selection pane="bottomLeft" activeCell="A4" sqref="A4"/>
      <selection pane="bottomRight" activeCell="M101" sqref="M101"/>
    </sheetView>
  </sheetViews>
  <sheetFormatPr defaultRowHeight="17.399999999999999" x14ac:dyDescent="0.3"/>
  <cols>
    <col min="1" max="1" width="14.3046875" customWidth="1"/>
    <col min="2" max="2" width="6" style="55" customWidth="1"/>
    <col min="3" max="3" width="7" bestFit="1" customWidth="1"/>
    <col min="4" max="4" width="5.15234375" customWidth="1"/>
    <col min="5" max="5" width="7.765625" customWidth="1"/>
    <col min="6" max="6" width="7.3046875" customWidth="1"/>
    <col min="7" max="7" width="7.69140625" customWidth="1"/>
    <col min="8" max="8" width="7" customWidth="1"/>
    <col min="9" max="9" width="4.84375" customWidth="1"/>
    <col min="10" max="10" width="7.3046875" style="48" bestFit="1" customWidth="1"/>
    <col min="11" max="11" width="6.84375" bestFit="1" customWidth="1"/>
    <col min="12" max="12" width="8" customWidth="1"/>
    <col min="13" max="13" width="6.4609375" customWidth="1"/>
    <col min="14" max="14" width="6.4609375" style="53" customWidth="1"/>
    <col min="15" max="15" width="8.3046875" style="51" bestFit="1" customWidth="1"/>
    <col min="16" max="16" width="9.765625" style="51" bestFit="1" customWidth="1"/>
    <col min="17" max="17" width="8.3046875" style="51" customWidth="1"/>
    <col min="18" max="18" width="7.921875" style="171" customWidth="1"/>
    <col min="19" max="19" width="9.07421875" style="52" customWidth="1"/>
    <col min="20" max="20" width="6.61328125" style="106" customWidth="1"/>
    <col min="21" max="21" width="7.3828125" style="107" customWidth="1"/>
    <col min="22" max="22" width="11.07421875" bestFit="1" customWidth="1"/>
    <col min="23" max="23" width="12.53515625" customWidth="1"/>
    <col min="24" max="24" width="12.07421875" bestFit="1" customWidth="1"/>
  </cols>
  <sheetData>
    <row r="1" spans="1:26" s="70" customFormat="1" x14ac:dyDescent="0.25">
      <c r="A1" s="153" t="s">
        <v>46</v>
      </c>
      <c r="B1" s="153"/>
      <c r="C1" s="153"/>
      <c r="D1" s="153"/>
      <c r="E1" s="153"/>
      <c r="F1" s="153"/>
      <c r="G1" s="153"/>
      <c r="H1" s="153"/>
      <c r="I1" s="153"/>
      <c r="J1" s="153"/>
      <c r="K1" s="153"/>
      <c r="L1" s="153"/>
      <c r="M1" s="153"/>
      <c r="N1" s="153"/>
      <c r="O1" s="153"/>
      <c r="P1" s="119"/>
      <c r="Q1" s="119"/>
      <c r="R1" s="170"/>
      <c r="S1" s="154"/>
      <c r="T1" s="104"/>
      <c r="U1" s="105"/>
    </row>
    <row r="2" spans="1:26" x14ac:dyDescent="0.3">
      <c r="A2" s="51"/>
      <c r="C2" s="362" t="s">
        <v>109</v>
      </c>
      <c r="D2" s="362"/>
      <c r="E2" s="362"/>
      <c r="F2" s="362"/>
      <c r="G2" s="362"/>
      <c r="H2" s="363" t="s">
        <v>108</v>
      </c>
      <c r="I2" s="363"/>
      <c r="J2" s="363"/>
      <c r="K2" s="363"/>
      <c r="L2" s="363"/>
      <c r="M2" s="363"/>
      <c r="N2" s="71"/>
    </row>
    <row r="3" spans="1:26" s="72" customFormat="1" ht="75" x14ac:dyDescent="0.3">
      <c r="A3" s="79" t="s">
        <v>47</v>
      </c>
      <c r="B3" s="73" t="s">
        <v>48</v>
      </c>
      <c r="C3" s="74" t="s">
        <v>49</v>
      </c>
      <c r="D3" s="74" t="s">
        <v>50</v>
      </c>
      <c r="E3" s="75" t="s">
        <v>51</v>
      </c>
      <c r="F3" s="74" t="s">
        <v>52</v>
      </c>
      <c r="G3" s="74" t="s">
        <v>53</v>
      </c>
      <c r="H3" s="76" t="s">
        <v>49</v>
      </c>
      <c r="I3" s="76" t="s">
        <v>50</v>
      </c>
      <c r="J3" s="77" t="s">
        <v>51</v>
      </c>
      <c r="K3" s="76" t="s">
        <v>52</v>
      </c>
      <c r="L3" s="76" t="s">
        <v>53</v>
      </c>
      <c r="M3" s="76" t="s">
        <v>114</v>
      </c>
      <c r="N3" s="73" t="s">
        <v>54</v>
      </c>
      <c r="O3" s="78" t="s">
        <v>55</v>
      </c>
      <c r="P3" s="166" t="s">
        <v>166</v>
      </c>
      <c r="Q3" s="166" t="s">
        <v>168</v>
      </c>
      <c r="R3" s="172" t="s">
        <v>167</v>
      </c>
      <c r="S3" s="167" t="s">
        <v>194</v>
      </c>
      <c r="T3" s="162" t="s">
        <v>201</v>
      </c>
      <c r="U3" s="162" t="s">
        <v>203</v>
      </c>
      <c r="V3" s="148" t="s">
        <v>306</v>
      </c>
      <c r="W3" s="149" t="s">
        <v>307</v>
      </c>
      <c r="X3" s="157" t="s">
        <v>308</v>
      </c>
      <c r="Z3" s="79"/>
    </row>
    <row r="4" spans="1:26" x14ac:dyDescent="0.3">
      <c r="A4" s="100" t="s">
        <v>56</v>
      </c>
      <c r="B4" s="80">
        <v>43770</v>
      </c>
      <c r="C4" s="81">
        <v>1582</v>
      </c>
      <c r="D4" s="82">
        <v>32</v>
      </c>
      <c r="E4" s="114">
        <v>192.5</v>
      </c>
      <c r="F4" s="83">
        <f t="shared" ref="F4:F35" si="0">E4/D4</f>
        <v>6.015625</v>
      </c>
      <c r="G4" s="84">
        <f t="shared" ref="G4:G35" si="1">E4/C4</f>
        <v>0.12168141592920353</v>
      </c>
      <c r="H4" s="85">
        <v>1304</v>
      </c>
      <c r="I4" s="86">
        <v>32</v>
      </c>
      <c r="J4" s="116">
        <v>162.31</v>
      </c>
      <c r="K4" s="87">
        <f t="shared" ref="K4:K35" si="2">J4/I4</f>
        <v>5.0721875000000001</v>
      </c>
      <c r="L4" s="88">
        <f t="shared" ref="L4:L35" si="3">J4/H4</f>
        <v>0.12447085889570553</v>
      </c>
      <c r="M4" s="89"/>
      <c r="N4" s="90">
        <f t="shared" ref="N4:N35" si="4">C4+H4</f>
        <v>2886</v>
      </c>
      <c r="O4" s="52">
        <f t="shared" ref="O4:O35" si="5">E4+J4</f>
        <v>354.81</v>
      </c>
      <c r="P4" s="168">
        <v>1424194</v>
      </c>
      <c r="Q4" s="169">
        <f t="shared" ref="Q4:Q35" si="6">P4/N4</f>
        <v>493.48371448371449</v>
      </c>
      <c r="R4" s="173">
        <f t="shared" ref="R4:R35" si="7">O4/Q4</f>
        <v>0.71899029205290854</v>
      </c>
      <c r="S4" s="168">
        <f t="shared" ref="S4:S35" si="8">P4/81</f>
        <v>17582.641975308641</v>
      </c>
      <c r="T4" s="163">
        <v>59</v>
      </c>
      <c r="U4" s="164" t="s">
        <v>115</v>
      </c>
    </row>
    <row r="5" spans="1:26" x14ac:dyDescent="0.3">
      <c r="A5" s="100" t="s">
        <v>57</v>
      </c>
      <c r="B5" s="80">
        <v>43800</v>
      </c>
      <c r="C5" s="81">
        <v>1582</v>
      </c>
      <c r="D5" s="82">
        <v>32</v>
      </c>
      <c r="E5" s="114">
        <v>192.5</v>
      </c>
      <c r="F5" s="83">
        <f t="shared" si="0"/>
        <v>6.015625</v>
      </c>
      <c r="G5" s="84">
        <f t="shared" si="1"/>
        <v>0.12168141592920353</v>
      </c>
      <c r="H5" s="92">
        <v>1509</v>
      </c>
      <c r="I5" s="86">
        <v>31</v>
      </c>
      <c r="J5" s="117">
        <v>184.58</v>
      </c>
      <c r="K5" s="87">
        <f t="shared" si="2"/>
        <v>5.9541935483870976</v>
      </c>
      <c r="L5" s="88">
        <f t="shared" si="3"/>
        <v>0.12231941683233931</v>
      </c>
      <c r="M5" s="89"/>
      <c r="N5" s="90">
        <f t="shared" si="4"/>
        <v>3091</v>
      </c>
      <c r="O5" s="52">
        <f t="shared" si="5"/>
        <v>377.08000000000004</v>
      </c>
      <c r="P5" s="168">
        <v>774713</v>
      </c>
      <c r="Q5" s="169">
        <f t="shared" si="6"/>
        <v>250.63506955677775</v>
      </c>
      <c r="R5" s="173">
        <f t="shared" si="7"/>
        <v>1.5044981560913526</v>
      </c>
      <c r="S5" s="168">
        <f t="shared" si="8"/>
        <v>9564.3580246913589</v>
      </c>
      <c r="T5" s="163">
        <v>53</v>
      </c>
      <c r="U5" s="164" t="s">
        <v>116</v>
      </c>
    </row>
    <row r="6" spans="1:26" x14ac:dyDescent="0.3">
      <c r="A6" s="100" t="s">
        <v>58</v>
      </c>
      <c r="B6" s="80">
        <v>43831</v>
      </c>
      <c r="C6" s="81">
        <v>1854</v>
      </c>
      <c r="D6" s="82">
        <v>33</v>
      </c>
      <c r="E6" s="114">
        <v>223.39</v>
      </c>
      <c r="F6" s="83">
        <f t="shared" si="0"/>
        <v>6.7693939393939386</v>
      </c>
      <c r="G6" s="84">
        <f t="shared" si="1"/>
        <v>0.1204908306364617</v>
      </c>
      <c r="H6" s="92">
        <v>1970</v>
      </c>
      <c r="I6" s="86">
        <v>33</v>
      </c>
      <c r="J6" s="117">
        <v>236.09</v>
      </c>
      <c r="K6" s="87">
        <f t="shared" si="2"/>
        <v>7.1542424242424243</v>
      </c>
      <c r="L6" s="88">
        <f t="shared" si="3"/>
        <v>0.11984263959390863</v>
      </c>
      <c r="M6" s="89"/>
      <c r="N6" s="90">
        <f t="shared" si="4"/>
        <v>3824</v>
      </c>
      <c r="O6" s="52">
        <f t="shared" si="5"/>
        <v>459.48</v>
      </c>
      <c r="P6" s="168">
        <v>878921</v>
      </c>
      <c r="Q6" s="169">
        <f t="shared" si="6"/>
        <v>229.84335774058579</v>
      </c>
      <c r="R6" s="173">
        <f t="shared" si="7"/>
        <v>1.9991006245157414</v>
      </c>
      <c r="S6" s="168">
        <f t="shared" si="8"/>
        <v>10850.876543209877</v>
      </c>
      <c r="T6" s="163">
        <v>46</v>
      </c>
      <c r="U6" s="164" t="s">
        <v>117</v>
      </c>
    </row>
    <row r="7" spans="1:26" x14ac:dyDescent="0.3">
      <c r="A7" s="100" t="s">
        <v>59</v>
      </c>
      <c r="B7" s="80">
        <v>43862</v>
      </c>
      <c r="C7" s="81">
        <v>1691</v>
      </c>
      <c r="D7" s="82">
        <v>29</v>
      </c>
      <c r="E7" s="114">
        <v>209.47</v>
      </c>
      <c r="F7" s="83">
        <f t="shared" si="0"/>
        <v>7.2231034482758618</v>
      </c>
      <c r="G7" s="84">
        <f t="shared" si="1"/>
        <v>0.12387344766410407</v>
      </c>
      <c r="H7" s="92">
        <v>1825</v>
      </c>
      <c r="I7" s="86">
        <v>29</v>
      </c>
      <c r="J7" s="117">
        <v>224.42</v>
      </c>
      <c r="K7" s="87">
        <f t="shared" si="2"/>
        <v>7.7386206896551721</v>
      </c>
      <c r="L7" s="88">
        <f t="shared" si="3"/>
        <v>0.12296986301369862</v>
      </c>
      <c r="M7" s="89"/>
      <c r="N7" s="90">
        <f t="shared" si="4"/>
        <v>3516</v>
      </c>
      <c r="O7" s="52">
        <f t="shared" si="5"/>
        <v>433.89</v>
      </c>
      <c r="P7" s="168">
        <v>786928</v>
      </c>
      <c r="Q7" s="169">
        <f t="shared" si="6"/>
        <v>223.81342434584755</v>
      </c>
      <c r="R7" s="173">
        <f t="shared" si="7"/>
        <v>1.93862366061444</v>
      </c>
      <c r="S7" s="168">
        <f t="shared" si="8"/>
        <v>9715.1604938271612</v>
      </c>
      <c r="T7" s="163">
        <v>49</v>
      </c>
      <c r="U7" s="164" t="s">
        <v>118</v>
      </c>
    </row>
    <row r="8" spans="1:26" x14ac:dyDescent="0.3">
      <c r="A8" s="100" t="s">
        <v>60</v>
      </c>
      <c r="B8" s="80">
        <v>43891</v>
      </c>
      <c r="C8" s="81">
        <v>1714</v>
      </c>
      <c r="D8" s="82">
        <v>29</v>
      </c>
      <c r="E8" s="114">
        <v>212.74</v>
      </c>
      <c r="F8" s="83">
        <f t="shared" si="0"/>
        <v>7.3358620689655174</v>
      </c>
      <c r="G8" s="84">
        <f t="shared" si="1"/>
        <v>0.12411901983663945</v>
      </c>
      <c r="H8" s="92">
        <v>1923</v>
      </c>
      <c r="I8" s="86">
        <v>29</v>
      </c>
      <c r="J8" s="117">
        <v>236.17</v>
      </c>
      <c r="K8" s="87">
        <f t="shared" si="2"/>
        <v>8.1437931034482762</v>
      </c>
      <c r="L8" s="88">
        <f t="shared" si="3"/>
        <v>0.12281331253250129</v>
      </c>
      <c r="M8" s="89"/>
      <c r="N8" s="90">
        <f t="shared" si="4"/>
        <v>3637</v>
      </c>
      <c r="O8" s="52">
        <f t="shared" si="5"/>
        <v>448.90999999999997</v>
      </c>
      <c r="P8" s="168">
        <v>824703</v>
      </c>
      <c r="Q8" s="169">
        <f t="shared" si="6"/>
        <v>226.75364311245531</v>
      </c>
      <c r="R8" s="173">
        <f t="shared" si="7"/>
        <v>1.9797256345617755</v>
      </c>
      <c r="S8" s="168">
        <f t="shared" si="8"/>
        <v>10181.518518518518</v>
      </c>
      <c r="T8" s="163">
        <v>51</v>
      </c>
      <c r="U8" s="164" t="s">
        <v>119</v>
      </c>
    </row>
    <row r="9" spans="1:26" x14ac:dyDescent="0.3">
      <c r="A9" s="100" t="s">
        <v>61</v>
      </c>
      <c r="B9" s="80">
        <v>43922</v>
      </c>
      <c r="C9" s="81">
        <v>2640</v>
      </c>
      <c r="D9" s="82">
        <v>32</v>
      </c>
      <c r="E9" s="114">
        <v>316.49</v>
      </c>
      <c r="F9" s="83">
        <f t="shared" si="0"/>
        <v>9.8903125000000003</v>
      </c>
      <c r="G9" s="84">
        <f t="shared" si="1"/>
        <v>0.11988257575757576</v>
      </c>
      <c r="H9" s="92">
        <v>2309</v>
      </c>
      <c r="I9" s="86">
        <v>32</v>
      </c>
      <c r="J9" s="117">
        <v>279.42</v>
      </c>
      <c r="K9" s="87">
        <f t="shared" si="2"/>
        <v>8.7318750000000005</v>
      </c>
      <c r="L9" s="88">
        <f t="shared" si="3"/>
        <v>0.12101342572542227</v>
      </c>
      <c r="M9" s="89"/>
      <c r="N9" s="90">
        <f t="shared" si="4"/>
        <v>4949</v>
      </c>
      <c r="O9" s="52">
        <f t="shared" si="5"/>
        <v>595.91000000000008</v>
      </c>
      <c r="P9" s="168">
        <v>1182520</v>
      </c>
      <c r="Q9" s="169">
        <f t="shared" si="6"/>
        <v>238.94120024247323</v>
      </c>
      <c r="R9" s="173">
        <f t="shared" si="7"/>
        <v>2.4939608547846972</v>
      </c>
      <c r="S9" s="168">
        <f t="shared" si="8"/>
        <v>14599.012345679012</v>
      </c>
      <c r="T9" s="163">
        <v>53</v>
      </c>
      <c r="U9" s="164" t="s">
        <v>120</v>
      </c>
    </row>
    <row r="10" spans="1:26" x14ac:dyDescent="0.3">
      <c r="A10" s="100" t="s">
        <v>62</v>
      </c>
      <c r="B10" s="80">
        <v>43952</v>
      </c>
      <c r="C10" s="81">
        <v>1986</v>
      </c>
      <c r="D10" s="82">
        <v>29</v>
      </c>
      <c r="E10" s="114">
        <v>243.23</v>
      </c>
      <c r="F10" s="83">
        <f t="shared" si="0"/>
        <v>8.3872413793103444</v>
      </c>
      <c r="G10" s="84">
        <f t="shared" si="1"/>
        <v>0.122472306143001</v>
      </c>
      <c r="H10" s="92">
        <v>2256</v>
      </c>
      <c r="I10" s="86">
        <v>29</v>
      </c>
      <c r="J10" s="117">
        <v>273.48</v>
      </c>
      <c r="K10" s="87">
        <f t="shared" si="2"/>
        <v>9.4303448275862074</v>
      </c>
      <c r="L10" s="88">
        <f t="shared" si="3"/>
        <v>0.12122340425531916</v>
      </c>
      <c r="M10" s="89"/>
      <c r="N10" s="90">
        <f t="shared" si="4"/>
        <v>4242</v>
      </c>
      <c r="O10" s="52">
        <f t="shared" si="5"/>
        <v>516.71</v>
      </c>
      <c r="P10" s="168">
        <v>1344438</v>
      </c>
      <c r="Q10" s="169">
        <f t="shared" si="6"/>
        <v>316.93493635077795</v>
      </c>
      <c r="R10" s="173">
        <f t="shared" si="7"/>
        <v>1.6303346230915818</v>
      </c>
      <c r="S10" s="168">
        <f t="shared" si="8"/>
        <v>16598</v>
      </c>
      <c r="T10" s="163">
        <v>63</v>
      </c>
      <c r="U10" s="164" t="s">
        <v>121</v>
      </c>
    </row>
    <row r="11" spans="1:26" x14ac:dyDescent="0.3">
      <c r="A11" s="100" t="s">
        <v>63</v>
      </c>
      <c r="B11" s="80">
        <v>43983</v>
      </c>
      <c r="C11" s="81">
        <v>2527</v>
      </c>
      <c r="D11" s="82">
        <v>30</v>
      </c>
      <c r="E11" s="114">
        <v>303.83999999999997</v>
      </c>
      <c r="F11" s="83">
        <f t="shared" si="0"/>
        <v>10.127999999999998</v>
      </c>
      <c r="G11" s="84">
        <f t="shared" si="1"/>
        <v>0.12023743569449939</v>
      </c>
      <c r="H11" s="92">
        <v>2644</v>
      </c>
      <c r="I11" s="86">
        <v>30</v>
      </c>
      <c r="J11" s="117">
        <v>316.95</v>
      </c>
      <c r="K11" s="87">
        <f t="shared" si="2"/>
        <v>10.565</v>
      </c>
      <c r="L11" s="88">
        <f t="shared" si="3"/>
        <v>0.119875189107413</v>
      </c>
      <c r="M11" s="89"/>
      <c r="N11" s="90">
        <f t="shared" si="4"/>
        <v>5171</v>
      </c>
      <c r="O11" s="52">
        <f t="shared" si="5"/>
        <v>620.79</v>
      </c>
      <c r="P11" s="168">
        <v>2742646</v>
      </c>
      <c r="Q11" s="169">
        <f t="shared" si="6"/>
        <v>530.38986656352733</v>
      </c>
      <c r="R11" s="173">
        <f t="shared" si="7"/>
        <v>1.1704409136286638</v>
      </c>
      <c r="S11" s="168">
        <f t="shared" si="8"/>
        <v>33859.827160493827</v>
      </c>
      <c r="T11" s="163">
        <v>67</v>
      </c>
      <c r="U11" s="164" t="s">
        <v>113</v>
      </c>
    </row>
    <row r="12" spans="1:26" x14ac:dyDescent="0.3">
      <c r="A12" s="100" t="s">
        <v>64</v>
      </c>
      <c r="B12" s="80">
        <v>44013</v>
      </c>
      <c r="C12" s="81">
        <v>2630</v>
      </c>
      <c r="D12" s="82">
        <v>32</v>
      </c>
      <c r="E12" s="114">
        <v>315.37</v>
      </c>
      <c r="F12" s="83">
        <f t="shared" si="0"/>
        <v>9.8553125000000001</v>
      </c>
      <c r="G12" s="84">
        <f t="shared" si="1"/>
        <v>0.11991254752851711</v>
      </c>
      <c r="H12" s="92">
        <v>3112</v>
      </c>
      <c r="I12" s="86">
        <v>32</v>
      </c>
      <c r="J12" s="117">
        <v>369.39</v>
      </c>
      <c r="K12" s="87">
        <f t="shared" si="2"/>
        <v>11.5434375</v>
      </c>
      <c r="L12" s="88">
        <f t="shared" si="3"/>
        <v>0.11869858611825192</v>
      </c>
      <c r="M12" s="89"/>
      <c r="N12" s="90">
        <f t="shared" si="4"/>
        <v>5742</v>
      </c>
      <c r="O12" s="52">
        <f t="shared" si="5"/>
        <v>684.76</v>
      </c>
      <c r="P12" s="168">
        <v>3415827</v>
      </c>
      <c r="Q12" s="169">
        <f t="shared" si="6"/>
        <v>594.88453500522462</v>
      </c>
      <c r="R12" s="173">
        <f t="shared" si="7"/>
        <v>1.1510805201785688</v>
      </c>
      <c r="S12" s="168">
        <f t="shared" si="8"/>
        <v>42170.703703703701</v>
      </c>
      <c r="T12" s="163">
        <v>71</v>
      </c>
      <c r="U12" s="164" t="s">
        <v>122</v>
      </c>
    </row>
    <row r="13" spans="1:26" x14ac:dyDescent="0.3">
      <c r="A13" s="100" t="s">
        <v>65</v>
      </c>
      <c r="B13" s="80">
        <v>44044</v>
      </c>
      <c r="C13" s="93">
        <v>3590</v>
      </c>
      <c r="D13" s="82">
        <v>29</v>
      </c>
      <c r="E13" s="115">
        <v>422.96</v>
      </c>
      <c r="F13" s="94">
        <f t="shared" si="0"/>
        <v>14.584827586206895</v>
      </c>
      <c r="G13" s="84">
        <f t="shared" si="1"/>
        <v>0.11781615598885793</v>
      </c>
      <c r="H13" s="85">
        <v>4577</v>
      </c>
      <c r="I13" s="86">
        <v>29</v>
      </c>
      <c r="J13" s="116">
        <v>533.54999999999995</v>
      </c>
      <c r="K13" s="87">
        <f t="shared" si="2"/>
        <v>18.398275862068964</v>
      </c>
      <c r="L13" s="88">
        <f t="shared" si="3"/>
        <v>0.11657199038671617</v>
      </c>
      <c r="M13" s="96">
        <v>8</v>
      </c>
      <c r="N13" s="90">
        <f t="shared" si="4"/>
        <v>8167</v>
      </c>
      <c r="O13" s="52">
        <f t="shared" si="5"/>
        <v>956.51</v>
      </c>
      <c r="P13" s="168">
        <v>3386077</v>
      </c>
      <c r="Q13" s="169">
        <f t="shared" si="6"/>
        <v>414.60475082649685</v>
      </c>
      <c r="R13" s="173">
        <f t="shared" si="7"/>
        <v>2.3070406166191733</v>
      </c>
      <c r="S13" s="168">
        <f t="shared" si="8"/>
        <v>41803.419753086418</v>
      </c>
      <c r="T13" s="163">
        <v>82</v>
      </c>
      <c r="U13" s="164" t="s">
        <v>123</v>
      </c>
    </row>
    <row r="14" spans="1:26" x14ac:dyDescent="0.3">
      <c r="A14" s="100" t="s">
        <v>66</v>
      </c>
      <c r="B14" s="80">
        <v>44075</v>
      </c>
      <c r="C14" s="93">
        <v>3683</v>
      </c>
      <c r="D14" s="82">
        <v>30</v>
      </c>
      <c r="E14" s="115">
        <v>433.36</v>
      </c>
      <c r="F14" s="94">
        <f t="shared" si="0"/>
        <v>14.445333333333334</v>
      </c>
      <c r="G14" s="84">
        <f t="shared" si="1"/>
        <v>0.11766494705403205</v>
      </c>
      <c r="H14" s="85">
        <v>4772</v>
      </c>
      <c r="I14" s="86">
        <v>30</v>
      </c>
      <c r="J14" s="116">
        <v>555.39</v>
      </c>
      <c r="K14" s="87">
        <f t="shared" si="2"/>
        <v>18.512999999999998</v>
      </c>
      <c r="L14" s="88">
        <f t="shared" si="3"/>
        <v>0.11638516345347862</v>
      </c>
      <c r="M14" s="96">
        <v>7</v>
      </c>
      <c r="N14" s="90">
        <f t="shared" si="4"/>
        <v>8455</v>
      </c>
      <c r="O14" s="52">
        <f t="shared" si="5"/>
        <v>988.75</v>
      </c>
      <c r="P14" s="168">
        <v>3696053</v>
      </c>
      <c r="Q14" s="169">
        <f t="shared" si="6"/>
        <v>437.14405677114132</v>
      </c>
      <c r="R14" s="173">
        <f t="shared" si="7"/>
        <v>2.2618401981789762</v>
      </c>
      <c r="S14" s="168">
        <f t="shared" si="8"/>
        <v>45630.283950617282</v>
      </c>
      <c r="T14" s="163">
        <v>83</v>
      </c>
      <c r="U14" s="164" t="s">
        <v>124</v>
      </c>
    </row>
    <row r="15" spans="1:26" x14ac:dyDescent="0.3">
      <c r="A15" s="100" t="s">
        <v>67</v>
      </c>
      <c r="B15" s="80">
        <v>44105</v>
      </c>
      <c r="C15" s="93">
        <v>3612</v>
      </c>
      <c r="D15" s="82">
        <v>32</v>
      </c>
      <c r="E15" s="115">
        <v>425.4</v>
      </c>
      <c r="F15" s="94">
        <f t="shared" si="0"/>
        <v>13.293749999999999</v>
      </c>
      <c r="G15" s="84">
        <f t="shared" si="1"/>
        <v>0.11777408637873754</v>
      </c>
      <c r="H15" s="85">
        <v>3624</v>
      </c>
      <c r="I15" s="86">
        <v>32</v>
      </c>
      <c r="J15" s="116">
        <v>426.77</v>
      </c>
      <c r="K15" s="87">
        <f t="shared" si="2"/>
        <v>13.336562499999999</v>
      </c>
      <c r="L15" s="88">
        <f t="shared" si="3"/>
        <v>0.1177621412803532</v>
      </c>
      <c r="M15" s="96">
        <v>3</v>
      </c>
      <c r="N15" s="90">
        <f t="shared" si="4"/>
        <v>7236</v>
      </c>
      <c r="O15" s="52">
        <f t="shared" si="5"/>
        <v>852.17</v>
      </c>
      <c r="P15" s="168">
        <v>1796233</v>
      </c>
      <c r="Q15" s="169">
        <f t="shared" si="6"/>
        <v>248.23562741846325</v>
      </c>
      <c r="R15" s="173">
        <f t="shared" si="7"/>
        <v>3.4329077129748753</v>
      </c>
      <c r="S15" s="168">
        <f t="shared" si="8"/>
        <v>22175.716049382718</v>
      </c>
      <c r="T15" s="163">
        <v>76</v>
      </c>
      <c r="U15" s="164" t="s">
        <v>125</v>
      </c>
    </row>
    <row r="16" spans="1:26" x14ac:dyDescent="0.3">
      <c r="A16" s="101" t="s">
        <v>68</v>
      </c>
      <c r="B16" s="80">
        <v>44136</v>
      </c>
      <c r="C16" s="81">
        <v>2217</v>
      </c>
      <c r="D16" s="82">
        <v>29</v>
      </c>
      <c r="E16" s="114">
        <v>269.13</v>
      </c>
      <c r="F16" s="83">
        <f t="shared" si="0"/>
        <v>9.280344827586207</v>
      </c>
      <c r="G16" s="84">
        <f t="shared" si="1"/>
        <v>0.12139377537212449</v>
      </c>
      <c r="H16" s="92">
        <v>1159</v>
      </c>
      <c r="I16" s="86">
        <v>29</v>
      </c>
      <c r="J16" s="117">
        <v>150.54</v>
      </c>
      <c r="K16" s="87">
        <f t="shared" si="2"/>
        <v>5.1910344827586208</v>
      </c>
      <c r="L16" s="88">
        <f t="shared" si="3"/>
        <v>0.12988783433994822</v>
      </c>
      <c r="M16" s="89"/>
      <c r="N16" s="90">
        <f t="shared" si="4"/>
        <v>3376</v>
      </c>
      <c r="O16" s="52">
        <f t="shared" si="5"/>
        <v>419.66999999999996</v>
      </c>
      <c r="P16" s="168">
        <v>942224</v>
      </c>
      <c r="Q16" s="169">
        <f t="shared" si="6"/>
        <v>279.09478672985784</v>
      </c>
      <c r="R16" s="173">
        <f t="shared" si="7"/>
        <v>1.5036826911647334</v>
      </c>
      <c r="S16" s="168">
        <f t="shared" si="8"/>
        <v>11632.395061728395</v>
      </c>
      <c r="T16" s="163">
        <v>64</v>
      </c>
      <c r="U16" s="164" t="s">
        <v>115</v>
      </c>
    </row>
    <row r="17" spans="1:21" x14ac:dyDescent="0.3">
      <c r="A17" s="101" t="s">
        <v>69</v>
      </c>
      <c r="B17" s="80">
        <v>44166</v>
      </c>
      <c r="C17" s="81">
        <v>2346</v>
      </c>
      <c r="D17" s="82">
        <v>33</v>
      </c>
      <c r="E17" s="114">
        <v>283.55</v>
      </c>
      <c r="F17" s="83">
        <f t="shared" si="0"/>
        <v>8.5924242424242436</v>
      </c>
      <c r="G17" s="84">
        <f t="shared" si="1"/>
        <v>0.12086530264279625</v>
      </c>
      <c r="H17" s="92">
        <v>1260</v>
      </c>
      <c r="I17" s="86">
        <v>33</v>
      </c>
      <c r="J17" s="117">
        <v>161.88999999999999</v>
      </c>
      <c r="K17" s="87">
        <f t="shared" si="2"/>
        <v>4.9057575757575753</v>
      </c>
      <c r="L17" s="88">
        <f t="shared" si="3"/>
        <v>0.12848412698412698</v>
      </c>
      <c r="M17" s="89"/>
      <c r="N17" s="90">
        <f t="shared" si="4"/>
        <v>3606</v>
      </c>
      <c r="O17" s="52">
        <f t="shared" si="5"/>
        <v>445.44</v>
      </c>
      <c r="P17" s="168">
        <v>1066429</v>
      </c>
      <c r="Q17" s="169">
        <f t="shared" si="6"/>
        <v>295.73738214087632</v>
      </c>
      <c r="R17" s="173">
        <f t="shared" si="7"/>
        <v>1.5062012004549763</v>
      </c>
      <c r="S17" s="168">
        <f t="shared" si="8"/>
        <v>13165.790123456791</v>
      </c>
      <c r="T17" s="163">
        <v>50</v>
      </c>
      <c r="U17" s="164" t="s">
        <v>116</v>
      </c>
    </row>
    <row r="18" spans="1:21" x14ac:dyDescent="0.3">
      <c r="A18" s="101" t="s">
        <v>70</v>
      </c>
      <c r="B18" s="80">
        <v>44197</v>
      </c>
      <c r="C18" s="81">
        <v>1977</v>
      </c>
      <c r="D18" s="82">
        <v>31</v>
      </c>
      <c r="E18" s="114">
        <v>246.52</v>
      </c>
      <c r="F18" s="83">
        <f t="shared" si="0"/>
        <v>7.9522580645161289</v>
      </c>
      <c r="G18" s="84">
        <f t="shared" si="1"/>
        <v>0.12469398077895802</v>
      </c>
      <c r="H18" s="92">
        <v>1304</v>
      </c>
      <c r="I18" s="86">
        <v>31</v>
      </c>
      <c r="J18" s="117">
        <v>169.64</v>
      </c>
      <c r="K18" s="87">
        <f t="shared" si="2"/>
        <v>5.4722580645161285</v>
      </c>
      <c r="L18" s="88">
        <f t="shared" si="3"/>
        <v>0.13009202453987728</v>
      </c>
      <c r="M18" s="89"/>
      <c r="N18" s="90">
        <f t="shared" si="4"/>
        <v>3281</v>
      </c>
      <c r="O18" s="52">
        <f t="shared" si="5"/>
        <v>416.15999999999997</v>
      </c>
      <c r="P18" s="168">
        <v>1422023</v>
      </c>
      <c r="Q18" s="169">
        <f t="shared" si="6"/>
        <v>433.41145992075587</v>
      </c>
      <c r="R18" s="173">
        <f t="shared" si="7"/>
        <v>0.96019611497141744</v>
      </c>
      <c r="S18" s="168">
        <f t="shared" si="8"/>
        <v>17555.839506172841</v>
      </c>
      <c r="T18" s="163">
        <v>46</v>
      </c>
      <c r="U18" s="164" t="s">
        <v>117</v>
      </c>
    </row>
    <row r="19" spans="1:21" x14ac:dyDescent="0.3">
      <c r="A19" s="101" t="s">
        <v>71</v>
      </c>
      <c r="B19" s="80">
        <v>44228</v>
      </c>
      <c r="C19" s="93">
        <v>1690</v>
      </c>
      <c r="D19" s="82">
        <v>32</v>
      </c>
      <c r="E19" s="115">
        <v>222.42</v>
      </c>
      <c r="F19" s="94">
        <f t="shared" si="0"/>
        <v>6.9506249999999996</v>
      </c>
      <c r="G19" s="84">
        <f t="shared" si="1"/>
        <v>0.1316094674556213</v>
      </c>
      <c r="H19" s="85">
        <v>1282</v>
      </c>
      <c r="I19" s="86">
        <v>32</v>
      </c>
      <c r="J19" s="116">
        <v>173.69</v>
      </c>
      <c r="K19" s="87">
        <f t="shared" si="2"/>
        <v>5.4278124999999999</v>
      </c>
      <c r="L19" s="88">
        <f t="shared" si="3"/>
        <v>0.13548361934477379</v>
      </c>
      <c r="M19" s="89"/>
      <c r="N19" s="90">
        <f t="shared" si="4"/>
        <v>2972</v>
      </c>
      <c r="O19" s="52">
        <f t="shared" si="5"/>
        <v>396.11</v>
      </c>
      <c r="P19" s="168">
        <v>1451760</v>
      </c>
      <c r="Q19" s="169">
        <f t="shared" si="6"/>
        <v>488.47913862718707</v>
      </c>
      <c r="R19" s="173">
        <f t="shared" si="7"/>
        <v>0.81090463988538053</v>
      </c>
      <c r="S19" s="168">
        <f t="shared" si="8"/>
        <v>17922.962962962964</v>
      </c>
      <c r="T19" s="163">
        <v>47</v>
      </c>
      <c r="U19" s="164" t="s">
        <v>118</v>
      </c>
    </row>
    <row r="20" spans="1:21" x14ac:dyDescent="0.3">
      <c r="A20" s="102" t="s">
        <v>72</v>
      </c>
      <c r="B20" s="95">
        <v>44256</v>
      </c>
      <c r="C20" s="93">
        <v>1067</v>
      </c>
      <c r="D20" s="82">
        <v>29</v>
      </c>
      <c r="E20" s="115">
        <v>148.06</v>
      </c>
      <c r="F20" s="94">
        <f t="shared" si="0"/>
        <v>5.1055172413793102</v>
      </c>
      <c r="G20" s="84">
        <f t="shared" si="1"/>
        <v>0.13876288659793815</v>
      </c>
      <c r="H20" s="85">
        <v>834</v>
      </c>
      <c r="I20" s="86">
        <v>29</v>
      </c>
      <c r="J20" s="116">
        <v>120.23</v>
      </c>
      <c r="K20" s="87">
        <f t="shared" si="2"/>
        <v>4.145862068965517</v>
      </c>
      <c r="L20" s="88">
        <f t="shared" si="3"/>
        <v>0.14416067146282974</v>
      </c>
      <c r="M20" s="89"/>
      <c r="N20" s="90">
        <f t="shared" si="4"/>
        <v>1901</v>
      </c>
      <c r="O20" s="52">
        <f t="shared" si="5"/>
        <v>268.29000000000002</v>
      </c>
      <c r="P20" s="168">
        <v>1467665</v>
      </c>
      <c r="Q20" s="169">
        <f t="shared" si="6"/>
        <v>772.04892162019985</v>
      </c>
      <c r="R20" s="173">
        <f t="shared" si="7"/>
        <v>0.34750388542344479</v>
      </c>
      <c r="S20" s="168">
        <f t="shared" si="8"/>
        <v>18119.320987654322</v>
      </c>
      <c r="T20" s="163">
        <v>46</v>
      </c>
      <c r="U20" s="164" t="s">
        <v>119</v>
      </c>
    </row>
    <row r="21" spans="1:21" x14ac:dyDescent="0.3">
      <c r="A21" s="101" t="s">
        <v>73</v>
      </c>
      <c r="B21" s="80">
        <v>44287</v>
      </c>
      <c r="C21" s="81">
        <v>1639</v>
      </c>
      <c r="D21" s="82">
        <v>29</v>
      </c>
      <c r="E21" s="114">
        <v>216.3</v>
      </c>
      <c r="F21" s="83">
        <f t="shared" si="0"/>
        <v>7.4586206896551728</v>
      </c>
      <c r="G21" s="84">
        <f t="shared" si="1"/>
        <v>0.13197071384990849</v>
      </c>
      <c r="H21" s="92">
        <v>1353</v>
      </c>
      <c r="I21" s="86">
        <v>29</v>
      </c>
      <c r="J21" s="117">
        <v>182.17</v>
      </c>
      <c r="K21" s="87">
        <f t="shared" si="2"/>
        <v>6.2817241379310342</v>
      </c>
      <c r="L21" s="88">
        <f t="shared" si="3"/>
        <v>0.13464153732446416</v>
      </c>
      <c r="M21" s="89"/>
      <c r="N21" s="90">
        <f t="shared" si="4"/>
        <v>2992</v>
      </c>
      <c r="O21" s="52">
        <f t="shared" si="5"/>
        <v>398.47</v>
      </c>
      <c r="P21" s="168">
        <v>1692446</v>
      </c>
      <c r="Q21" s="169">
        <f t="shared" si="6"/>
        <v>565.6570855614973</v>
      </c>
      <c r="R21" s="173">
        <f t="shared" si="7"/>
        <v>0.70443738825345104</v>
      </c>
      <c r="S21" s="168">
        <f t="shared" si="8"/>
        <v>20894.395061728395</v>
      </c>
      <c r="T21" s="163">
        <v>53</v>
      </c>
      <c r="U21" s="164" t="s">
        <v>120</v>
      </c>
    </row>
    <row r="22" spans="1:21" x14ac:dyDescent="0.3">
      <c r="A22" s="101" t="s">
        <v>74</v>
      </c>
      <c r="B22" s="80">
        <v>44317</v>
      </c>
      <c r="C22" s="81">
        <v>1967</v>
      </c>
      <c r="D22" s="82">
        <v>29</v>
      </c>
      <c r="E22" s="114">
        <v>255.63</v>
      </c>
      <c r="F22" s="83">
        <f t="shared" si="0"/>
        <v>8.8148275862068957</v>
      </c>
      <c r="G22" s="84">
        <f t="shared" si="1"/>
        <v>0.12995932892730044</v>
      </c>
      <c r="H22" s="92">
        <v>1923</v>
      </c>
      <c r="I22" s="86">
        <v>29</v>
      </c>
      <c r="J22" s="117">
        <v>250.33</v>
      </c>
      <c r="K22" s="87">
        <f t="shared" si="2"/>
        <v>8.6320689655172416</v>
      </c>
      <c r="L22" s="88">
        <f t="shared" si="3"/>
        <v>0.13017680707228291</v>
      </c>
      <c r="M22" s="89"/>
      <c r="N22" s="90">
        <f t="shared" si="4"/>
        <v>3890</v>
      </c>
      <c r="O22" s="52">
        <f t="shared" si="5"/>
        <v>505.96000000000004</v>
      </c>
      <c r="P22" s="168">
        <v>1804026</v>
      </c>
      <c r="Q22" s="169">
        <f t="shared" si="6"/>
        <v>463.75989717223649</v>
      </c>
      <c r="R22" s="173">
        <f t="shared" si="7"/>
        <v>1.090995584320847</v>
      </c>
      <c r="S22" s="168">
        <f t="shared" si="8"/>
        <v>22271.925925925927</v>
      </c>
      <c r="T22" s="163">
        <v>65</v>
      </c>
      <c r="U22" s="164" t="s">
        <v>121</v>
      </c>
    </row>
    <row r="23" spans="1:21" x14ac:dyDescent="0.3">
      <c r="A23" s="101" t="s">
        <v>75</v>
      </c>
      <c r="B23" s="80">
        <v>44348</v>
      </c>
      <c r="C23" s="93">
        <v>3273</v>
      </c>
      <c r="D23" s="82">
        <v>32</v>
      </c>
      <c r="E23" s="115">
        <v>412.55</v>
      </c>
      <c r="F23" s="94">
        <f t="shared" si="0"/>
        <v>12.8921875</v>
      </c>
      <c r="G23" s="84">
        <f t="shared" si="1"/>
        <v>0.12604644057439657</v>
      </c>
      <c r="H23" s="85">
        <v>3222</v>
      </c>
      <c r="I23" s="86">
        <v>32</v>
      </c>
      <c r="J23" s="116">
        <v>406.45</v>
      </c>
      <c r="K23" s="87">
        <f t="shared" si="2"/>
        <v>12.7015625</v>
      </c>
      <c r="L23" s="88">
        <f t="shared" si="3"/>
        <v>0.12614835505896957</v>
      </c>
      <c r="M23" s="96">
        <v>2</v>
      </c>
      <c r="N23" s="90">
        <f t="shared" si="4"/>
        <v>6495</v>
      </c>
      <c r="O23" s="52">
        <f t="shared" si="5"/>
        <v>819</v>
      </c>
      <c r="P23" s="168">
        <v>1906122</v>
      </c>
      <c r="Q23" s="169">
        <f t="shared" si="6"/>
        <v>293.4752886836028</v>
      </c>
      <c r="R23" s="173">
        <f t="shared" si="7"/>
        <v>2.7906949292857433</v>
      </c>
      <c r="S23" s="168">
        <f t="shared" si="8"/>
        <v>23532.370370370369</v>
      </c>
      <c r="T23" s="163">
        <v>68</v>
      </c>
      <c r="U23" s="164" t="s">
        <v>113</v>
      </c>
    </row>
    <row r="24" spans="1:21" x14ac:dyDescent="0.3">
      <c r="A24" s="101" t="s">
        <v>76</v>
      </c>
      <c r="B24" s="80">
        <v>44378</v>
      </c>
      <c r="C24" s="93">
        <v>3565</v>
      </c>
      <c r="D24" s="82">
        <v>30</v>
      </c>
      <c r="E24" s="115">
        <v>447.5</v>
      </c>
      <c r="F24" s="94">
        <f t="shared" si="0"/>
        <v>14.916666666666666</v>
      </c>
      <c r="G24" s="84">
        <f t="shared" si="1"/>
        <v>0.12552594670406733</v>
      </c>
      <c r="H24" s="85">
        <v>4324</v>
      </c>
      <c r="I24" s="86">
        <v>30</v>
      </c>
      <c r="J24" s="116">
        <v>538.39</v>
      </c>
      <c r="K24" s="87">
        <f t="shared" si="2"/>
        <v>17.946333333333332</v>
      </c>
      <c r="L24" s="88">
        <f t="shared" si="3"/>
        <v>0.12451202590194264</v>
      </c>
      <c r="M24" s="96">
        <v>7</v>
      </c>
      <c r="N24" s="90">
        <f t="shared" si="4"/>
        <v>7889</v>
      </c>
      <c r="O24" s="52">
        <f t="shared" si="5"/>
        <v>985.89</v>
      </c>
      <c r="P24" s="168">
        <v>2050291</v>
      </c>
      <c r="Q24" s="169">
        <f t="shared" si="6"/>
        <v>259.8923817974395</v>
      </c>
      <c r="R24" s="173">
        <f t="shared" si="7"/>
        <v>3.7934547876374616</v>
      </c>
      <c r="S24" s="168">
        <f t="shared" si="8"/>
        <v>25312.234567901236</v>
      </c>
      <c r="T24" s="163">
        <v>81</v>
      </c>
      <c r="U24" s="164" t="s">
        <v>122</v>
      </c>
    </row>
    <row r="25" spans="1:21" x14ac:dyDescent="0.3">
      <c r="A25" s="101" t="s">
        <v>77</v>
      </c>
      <c r="B25" s="80">
        <v>44409</v>
      </c>
      <c r="C25" s="93">
        <v>3825</v>
      </c>
      <c r="D25" s="82">
        <v>29</v>
      </c>
      <c r="E25" s="115">
        <v>478.64</v>
      </c>
      <c r="F25" s="94">
        <f t="shared" si="0"/>
        <v>16.504827586206897</v>
      </c>
      <c r="G25" s="84">
        <f t="shared" si="1"/>
        <v>0.12513464052287582</v>
      </c>
      <c r="H25" s="85">
        <v>4874</v>
      </c>
      <c r="I25" s="86">
        <v>29</v>
      </c>
      <c r="J25" s="116">
        <v>604.23</v>
      </c>
      <c r="K25" s="87">
        <f t="shared" si="2"/>
        <v>20.835517241379311</v>
      </c>
      <c r="L25" s="88">
        <f t="shared" si="3"/>
        <v>0.1239700451374641</v>
      </c>
      <c r="M25" s="96">
        <v>8</v>
      </c>
      <c r="N25" s="90">
        <f t="shared" si="4"/>
        <v>8699</v>
      </c>
      <c r="O25" s="52">
        <f t="shared" si="5"/>
        <v>1082.8699999999999</v>
      </c>
      <c r="P25" s="168">
        <v>3600927</v>
      </c>
      <c r="Q25" s="169">
        <f t="shared" si="6"/>
        <v>413.94723531440394</v>
      </c>
      <c r="R25" s="173">
        <f t="shared" si="7"/>
        <v>2.6159614260439046</v>
      </c>
      <c r="S25" s="168">
        <f t="shared" si="8"/>
        <v>44455.888888888891</v>
      </c>
      <c r="T25" s="163">
        <v>85</v>
      </c>
      <c r="U25" s="164" t="s">
        <v>123</v>
      </c>
    </row>
    <row r="26" spans="1:21" x14ac:dyDescent="0.3">
      <c r="A26" s="101" t="s">
        <v>78</v>
      </c>
      <c r="B26" s="80">
        <v>44440</v>
      </c>
      <c r="C26" s="93">
        <v>4021</v>
      </c>
      <c r="D26" s="82">
        <v>29</v>
      </c>
      <c r="E26" s="115">
        <v>502.1</v>
      </c>
      <c r="F26" s="94">
        <f t="shared" si="0"/>
        <v>17.313793103448276</v>
      </c>
      <c r="G26" s="84">
        <f t="shared" si="1"/>
        <v>0.12486943546381497</v>
      </c>
      <c r="H26" s="85">
        <v>5130</v>
      </c>
      <c r="I26" s="86">
        <v>29</v>
      </c>
      <c r="J26" s="116">
        <v>631.20000000000005</v>
      </c>
      <c r="K26" s="87">
        <f t="shared" si="2"/>
        <v>21.76551724137931</v>
      </c>
      <c r="L26" s="88">
        <f t="shared" si="3"/>
        <v>0.12304093567251463</v>
      </c>
      <c r="M26" s="96">
        <v>9</v>
      </c>
      <c r="N26" s="90">
        <f t="shared" si="4"/>
        <v>9151</v>
      </c>
      <c r="O26" s="52">
        <f t="shared" si="5"/>
        <v>1133.3000000000002</v>
      </c>
      <c r="P26" s="168">
        <v>3651064</v>
      </c>
      <c r="Q26" s="169">
        <f t="shared" si="6"/>
        <v>398.97978363020434</v>
      </c>
      <c r="R26" s="173">
        <f t="shared" si="7"/>
        <v>2.8404947982286815</v>
      </c>
      <c r="S26" s="168">
        <f t="shared" si="8"/>
        <v>45074.864197530864</v>
      </c>
      <c r="T26" s="163">
        <v>83</v>
      </c>
      <c r="U26" s="164" t="s">
        <v>124</v>
      </c>
    </row>
    <row r="27" spans="1:21" x14ac:dyDescent="0.3">
      <c r="A27" s="103" t="s">
        <v>79</v>
      </c>
      <c r="B27" s="80">
        <v>44470</v>
      </c>
      <c r="C27" s="93">
        <v>3167</v>
      </c>
      <c r="D27" s="82">
        <v>32</v>
      </c>
      <c r="E27" s="115">
        <v>399.86</v>
      </c>
      <c r="F27" s="94">
        <f t="shared" si="0"/>
        <v>12.495625</v>
      </c>
      <c r="G27" s="84">
        <f t="shared" si="1"/>
        <v>0.12625828860119989</v>
      </c>
      <c r="H27" s="85">
        <v>3887</v>
      </c>
      <c r="I27" s="86">
        <v>32</v>
      </c>
      <c r="J27" s="116">
        <v>486.06</v>
      </c>
      <c r="K27" s="87">
        <f t="shared" si="2"/>
        <v>15.189375</v>
      </c>
      <c r="L27" s="88">
        <f t="shared" si="3"/>
        <v>0.12504759454592232</v>
      </c>
      <c r="M27" s="89" t="s">
        <v>126</v>
      </c>
      <c r="N27" s="90">
        <f t="shared" si="4"/>
        <v>7054</v>
      </c>
      <c r="O27" s="52">
        <f t="shared" si="5"/>
        <v>885.92000000000007</v>
      </c>
      <c r="P27" s="168">
        <v>2802587</v>
      </c>
      <c r="Q27" s="169">
        <f t="shared" si="6"/>
        <v>397.30464984406012</v>
      </c>
      <c r="R27" s="173">
        <f t="shared" si="7"/>
        <v>2.2298254006030858</v>
      </c>
      <c r="S27" s="168">
        <f t="shared" si="8"/>
        <v>34599.839506172837</v>
      </c>
      <c r="T27" s="163">
        <v>75</v>
      </c>
      <c r="U27" s="164" t="s">
        <v>125</v>
      </c>
    </row>
    <row r="28" spans="1:21" x14ac:dyDescent="0.3">
      <c r="A28" s="103" t="s">
        <v>80</v>
      </c>
      <c r="B28" s="80">
        <v>44501</v>
      </c>
      <c r="C28" s="93">
        <v>2046</v>
      </c>
      <c r="D28" s="82">
        <v>29</v>
      </c>
      <c r="E28" s="115">
        <v>265.64</v>
      </c>
      <c r="F28" s="94">
        <f t="shared" si="0"/>
        <v>9.16</v>
      </c>
      <c r="G28" s="84">
        <f t="shared" si="1"/>
        <v>0.1298338220918866</v>
      </c>
      <c r="H28" s="85">
        <v>1336</v>
      </c>
      <c r="I28" s="86">
        <v>29</v>
      </c>
      <c r="J28" s="116">
        <v>180.66</v>
      </c>
      <c r="K28" s="87">
        <f t="shared" si="2"/>
        <v>6.2296551724137927</v>
      </c>
      <c r="L28" s="88">
        <f t="shared" si="3"/>
        <v>0.13522455089820359</v>
      </c>
      <c r="M28" s="51"/>
      <c r="N28" s="90">
        <f t="shared" si="4"/>
        <v>3382</v>
      </c>
      <c r="O28" s="52">
        <f t="shared" si="5"/>
        <v>446.29999999999995</v>
      </c>
      <c r="P28" s="168">
        <v>1083532</v>
      </c>
      <c r="Q28" s="169">
        <f t="shared" si="6"/>
        <v>320.38202247191009</v>
      </c>
      <c r="R28" s="173">
        <f t="shared" si="7"/>
        <v>1.3930244792031983</v>
      </c>
      <c r="S28" s="168">
        <f t="shared" si="8"/>
        <v>13376.938271604939</v>
      </c>
      <c r="T28" s="163">
        <v>60</v>
      </c>
      <c r="U28" s="164" t="s">
        <v>115</v>
      </c>
    </row>
    <row r="29" spans="1:21" x14ac:dyDescent="0.3">
      <c r="A29" s="103" t="s">
        <v>81</v>
      </c>
      <c r="B29" s="80">
        <v>44531</v>
      </c>
      <c r="C29" s="93">
        <v>2550</v>
      </c>
      <c r="D29" s="82">
        <v>33</v>
      </c>
      <c r="E29" s="115">
        <v>326</v>
      </c>
      <c r="F29" s="94">
        <f t="shared" si="0"/>
        <v>9.8787878787878789</v>
      </c>
      <c r="G29" s="84">
        <f t="shared" si="1"/>
        <v>0.12784313725490196</v>
      </c>
      <c r="H29" s="85">
        <v>1604</v>
      </c>
      <c r="I29" s="86">
        <v>33</v>
      </c>
      <c r="J29" s="116">
        <v>212.75</v>
      </c>
      <c r="K29" s="87">
        <f t="shared" si="2"/>
        <v>6.4469696969696972</v>
      </c>
      <c r="L29" s="88">
        <f t="shared" si="3"/>
        <v>0.13263715710723192</v>
      </c>
      <c r="M29" s="51"/>
      <c r="N29" s="90">
        <f t="shared" si="4"/>
        <v>4154</v>
      </c>
      <c r="O29" s="52">
        <f t="shared" si="5"/>
        <v>538.75</v>
      </c>
      <c r="P29" s="168">
        <v>872158</v>
      </c>
      <c r="Q29" s="169">
        <f t="shared" si="6"/>
        <v>209.95618680789602</v>
      </c>
      <c r="R29" s="173">
        <f t="shared" si="7"/>
        <v>2.566011548366236</v>
      </c>
      <c r="S29" s="168">
        <f t="shared" si="8"/>
        <v>10767.382716049382</v>
      </c>
      <c r="T29" s="163">
        <v>53</v>
      </c>
      <c r="U29" s="164" t="s">
        <v>116</v>
      </c>
    </row>
    <row r="30" spans="1:21" x14ac:dyDescent="0.3">
      <c r="A30" s="103" t="s">
        <v>82</v>
      </c>
      <c r="B30" s="80">
        <v>44562</v>
      </c>
      <c r="C30" s="93">
        <v>2339</v>
      </c>
      <c r="D30" s="82">
        <v>31</v>
      </c>
      <c r="E30" s="115">
        <v>303.58999999999997</v>
      </c>
      <c r="F30" s="94">
        <f t="shared" si="0"/>
        <v>9.7932258064516127</v>
      </c>
      <c r="G30" s="84">
        <f t="shared" si="1"/>
        <v>0.12979478409576742</v>
      </c>
      <c r="H30" s="85">
        <v>1578</v>
      </c>
      <c r="I30" s="86">
        <v>31</v>
      </c>
      <c r="J30" s="116">
        <v>211.51</v>
      </c>
      <c r="K30" s="87">
        <f t="shared" si="2"/>
        <v>6.822903225806451</v>
      </c>
      <c r="L30" s="88">
        <f t="shared" si="3"/>
        <v>0.13403675538656526</v>
      </c>
      <c r="M30" s="51"/>
      <c r="N30" s="90">
        <f t="shared" si="4"/>
        <v>3917</v>
      </c>
      <c r="O30" s="52">
        <f t="shared" si="5"/>
        <v>515.09999999999991</v>
      </c>
      <c r="P30" s="168">
        <v>997969</v>
      </c>
      <c r="Q30" s="169">
        <f t="shared" si="6"/>
        <v>254.77891243298441</v>
      </c>
      <c r="R30" s="173">
        <f t="shared" si="7"/>
        <v>2.021752880099482</v>
      </c>
      <c r="S30" s="168">
        <f t="shared" si="8"/>
        <v>12320.604938271605</v>
      </c>
      <c r="T30" s="163">
        <v>43</v>
      </c>
      <c r="U30" s="164" t="s">
        <v>117</v>
      </c>
    </row>
    <row r="31" spans="1:21" x14ac:dyDescent="0.3">
      <c r="A31" s="103" t="s">
        <v>83</v>
      </c>
      <c r="B31" s="80">
        <v>44593</v>
      </c>
      <c r="C31" s="93">
        <v>2001</v>
      </c>
      <c r="D31" s="82">
        <v>32</v>
      </c>
      <c r="E31" s="115">
        <v>272.7</v>
      </c>
      <c r="F31" s="94">
        <f t="shared" si="0"/>
        <v>8.5218749999999996</v>
      </c>
      <c r="G31" s="84">
        <f t="shared" si="1"/>
        <v>0.13628185907046475</v>
      </c>
      <c r="H31" s="85">
        <v>2033</v>
      </c>
      <c r="I31" s="86">
        <v>32</v>
      </c>
      <c r="J31" s="116">
        <v>276.75</v>
      </c>
      <c r="K31" s="87">
        <f t="shared" si="2"/>
        <v>8.6484375</v>
      </c>
      <c r="L31" s="88">
        <f t="shared" si="3"/>
        <v>0.13612887358583375</v>
      </c>
      <c r="M31" s="51"/>
      <c r="N31" s="90">
        <f t="shared" si="4"/>
        <v>4034</v>
      </c>
      <c r="O31" s="52">
        <f t="shared" si="5"/>
        <v>549.45000000000005</v>
      </c>
      <c r="P31" s="168">
        <v>966286</v>
      </c>
      <c r="Q31" s="169">
        <f t="shared" si="6"/>
        <v>239.53544868616757</v>
      </c>
      <c r="R31" s="173">
        <f t="shared" si="7"/>
        <v>2.2938149781741641</v>
      </c>
      <c r="S31" s="168">
        <f t="shared" si="8"/>
        <v>11929.456790123457</v>
      </c>
      <c r="T31" s="163">
        <v>48</v>
      </c>
      <c r="U31" s="164" t="s">
        <v>118</v>
      </c>
    </row>
    <row r="32" spans="1:21" x14ac:dyDescent="0.3">
      <c r="A32" s="103" t="s">
        <v>84</v>
      </c>
      <c r="B32" s="80">
        <v>44621</v>
      </c>
      <c r="C32" s="93">
        <v>1919</v>
      </c>
      <c r="D32" s="82">
        <v>29</v>
      </c>
      <c r="E32" s="115">
        <v>262.37</v>
      </c>
      <c r="F32" s="94">
        <f t="shared" si="0"/>
        <v>9.0472413793103446</v>
      </c>
      <c r="G32" s="84">
        <f t="shared" si="1"/>
        <v>0.13672225117248568</v>
      </c>
      <c r="H32" s="85">
        <v>1931</v>
      </c>
      <c r="I32" s="86">
        <v>29</v>
      </c>
      <c r="J32" s="116">
        <v>263.89999999999998</v>
      </c>
      <c r="K32" s="87">
        <f t="shared" si="2"/>
        <v>9.1</v>
      </c>
      <c r="L32" s="88">
        <f t="shared" si="3"/>
        <v>0.13666494044536509</v>
      </c>
      <c r="M32" s="51"/>
      <c r="N32" s="90">
        <f t="shared" si="4"/>
        <v>3850</v>
      </c>
      <c r="O32" s="52">
        <f t="shared" si="5"/>
        <v>526.27</v>
      </c>
      <c r="P32" s="168">
        <v>958637</v>
      </c>
      <c r="Q32" s="169">
        <f t="shared" si="6"/>
        <v>248.99662337662338</v>
      </c>
      <c r="R32" s="173">
        <f t="shared" si="7"/>
        <v>2.1135627980142639</v>
      </c>
      <c r="S32" s="168">
        <f t="shared" si="8"/>
        <v>11835.024691358025</v>
      </c>
      <c r="T32" s="163">
        <v>50</v>
      </c>
      <c r="U32" s="164" t="s">
        <v>119</v>
      </c>
    </row>
    <row r="33" spans="1:31" x14ac:dyDescent="0.3">
      <c r="A33" s="103" t="s">
        <v>85</v>
      </c>
      <c r="B33" s="80">
        <v>44652</v>
      </c>
      <c r="C33" s="93">
        <v>2047</v>
      </c>
      <c r="D33" s="82">
        <v>29</v>
      </c>
      <c r="E33" s="115">
        <v>278.5</v>
      </c>
      <c r="F33" s="94">
        <f t="shared" si="0"/>
        <v>9.6034482758620694</v>
      </c>
      <c r="G33" s="84">
        <f t="shared" si="1"/>
        <v>0.13605276013678555</v>
      </c>
      <c r="H33" s="85">
        <v>1261</v>
      </c>
      <c r="I33" s="86">
        <v>29</v>
      </c>
      <c r="J33" s="116">
        <v>179.39</v>
      </c>
      <c r="K33" s="87">
        <f t="shared" si="2"/>
        <v>6.185862068965517</v>
      </c>
      <c r="L33" s="88">
        <f t="shared" si="3"/>
        <v>0.1422601110229976</v>
      </c>
      <c r="M33" s="51"/>
      <c r="N33" s="90">
        <f t="shared" si="4"/>
        <v>3308</v>
      </c>
      <c r="O33" s="52">
        <f t="shared" si="5"/>
        <v>457.89</v>
      </c>
      <c r="P33" s="168">
        <v>1131197</v>
      </c>
      <c r="Q33" s="169">
        <f t="shared" si="6"/>
        <v>341.95798065296253</v>
      </c>
      <c r="R33" s="173">
        <f t="shared" si="7"/>
        <v>1.3390241664360849</v>
      </c>
      <c r="S33" s="168">
        <f t="shared" si="8"/>
        <v>13965.395061728395</v>
      </c>
      <c r="T33" s="163">
        <v>55</v>
      </c>
      <c r="U33" s="164" t="s">
        <v>120</v>
      </c>
    </row>
    <row r="34" spans="1:31" x14ac:dyDescent="0.3">
      <c r="A34" s="101" t="s">
        <v>86</v>
      </c>
      <c r="B34" s="80">
        <v>44682</v>
      </c>
      <c r="C34" s="93">
        <v>1507</v>
      </c>
      <c r="D34" s="82">
        <v>29</v>
      </c>
      <c r="E34" s="115">
        <v>210.66</v>
      </c>
      <c r="F34" s="94">
        <f t="shared" si="0"/>
        <v>7.2641379310344822</v>
      </c>
      <c r="G34" s="84">
        <f t="shared" si="1"/>
        <v>0.13978765759787656</v>
      </c>
      <c r="H34" s="85">
        <v>1262</v>
      </c>
      <c r="I34" s="86">
        <v>29</v>
      </c>
      <c r="J34" s="116">
        <v>179.75</v>
      </c>
      <c r="K34" s="87">
        <f t="shared" si="2"/>
        <v>6.1982758620689653</v>
      </c>
      <c r="L34" s="88">
        <f t="shared" si="3"/>
        <v>0.14243264659270999</v>
      </c>
      <c r="M34" s="51"/>
      <c r="N34" s="90">
        <f t="shared" si="4"/>
        <v>2769</v>
      </c>
      <c r="O34" s="52">
        <f t="shared" si="5"/>
        <v>390.40999999999997</v>
      </c>
      <c r="P34" s="168">
        <v>1338919</v>
      </c>
      <c r="Q34" s="169">
        <f t="shared" si="6"/>
        <v>483.53882267966776</v>
      </c>
      <c r="R34" s="173">
        <f t="shared" si="7"/>
        <v>0.80740156051262246</v>
      </c>
      <c r="S34" s="168">
        <f t="shared" si="8"/>
        <v>16529.864197530864</v>
      </c>
      <c r="T34" s="163">
        <v>54</v>
      </c>
      <c r="U34" s="164" t="s">
        <v>121</v>
      </c>
    </row>
    <row r="35" spans="1:31" x14ac:dyDescent="0.3">
      <c r="A35" s="101" t="s">
        <v>87</v>
      </c>
      <c r="B35" s="80">
        <v>44713</v>
      </c>
      <c r="C35" s="93">
        <v>2130</v>
      </c>
      <c r="D35" s="82">
        <v>32</v>
      </c>
      <c r="E35" s="115">
        <v>300.57</v>
      </c>
      <c r="F35" s="94">
        <f t="shared" si="0"/>
        <v>9.3928124999999998</v>
      </c>
      <c r="G35" s="84">
        <f t="shared" si="1"/>
        <v>0.14111267605633804</v>
      </c>
      <c r="H35" s="85">
        <v>1546</v>
      </c>
      <c r="I35" s="86">
        <v>32</v>
      </c>
      <c r="J35" s="116">
        <v>223.73</v>
      </c>
      <c r="K35" s="87">
        <f t="shared" si="2"/>
        <v>6.9915624999999997</v>
      </c>
      <c r="L35" s="88">
        <f t="shared" si="3"/>
        <v>0.14471539456662355</v>
      </c>
      <c r="M35" s="51"/>
      <c r="N35" s="90">
        <f t="shared" si="4"/>
        <v>3676</v>
      </c>
      <c r="O35" s="52">
        <f t="shared" si="5"/>
        <v>524.29999999999995</v>
      </c>
      <c r="P35" s="168">
        <v>2170655</v>
      </c>
      <c r="Q35" s="169">
        <f t="shared" si="6"/>
        <v>590.49374319912954</v>
      </c>
      <c r="R35" s="173">
        <f t="shared" si="7"/>
        <v>0.88790102526656689</v>
      </c>
      <c r="S35" s="168">
        <f t="shared" si="8"/>
        <v>26798.209876543209</v>
      </c>
      <c r="T35" s="163">
        <v>61</v>
      </c>
      <c r="U35" s="164" t="s">
        <v>113</v>
      </c>
    </row>
    <row r="36" spans="1:31" x14ac:dyDescent="0.3">
      <c r="A36" s="101" t="s">
        <v>88</v>
      </c>
      <c r="B36" s="80">
        <v>44743</v>
      </c>
      <c r="C36" s="93">
        <v>2534</v>
      </c>
      <c r="D36" s="82">
        <v>30</v>
      </c>
      <c r="E36" s="115">
        <v>354.98</v>
      </c>
      <c r="F36" s="94">
        <f t="shared" ref="F36:F68" si="9">E36/D36</f>
        <v>11.832666666666666</v>
      </c>
      <c r="G36" s="84">
        <f t="shared" ref="G36:G68" si="10">E36/C36</f>
        <v>0.14008681925809</v>
      </c>
      <c r="H36" s="85">
        <v>2207</v>
      </c>
      <c r="I36" s="86">
        <v>30</v>
      </c>
      <c r="J36" s="116">
        <v>311.8</v>
      </c>
      <c r="K36" s="87">
        <f t="shared" ref="K36:K63" si="11">J36/I36</f>
        <v>10.393333333333334</v>
      </c>
      <c r="L36" s="88">
        <f t="shared" ref="L36:L63" si="12">J36/H36</f>
        <v>0.14127775260534664</v>
      </c>
      <c r="M36" s="96">
        <v>3</v>
      </c>
      <c r="N36" s="90">
        <f t="shared" ref="N36:N57" si="13">C36+H36</f>
        <v>4741</v>
      </c>
      <c r="O36" s="52">
        <f t="shared" ref="O36:O57" si="14">E36+J36</f>
        <v>666.78</v>
      </c>
      <c r="P36" s="168">
        <v>3018857</v>
      </c>
      <c r="Q36" s="169">
        <f t="shared" ref="Q36:Q58" si="15">P36/N36</f>
        <v>636.75532588061594</v>
      </c>
      <c r="R36" s="173">
        <f t="shared" ref="R36:R58" si="16">O36/Q36</f>
        <v>1.0471526077584992</v>
      </c>
      <c r="S36" s="168">
        <f t="shared" ref="S36:S58" si="17">P36/81</f>
        <v>37269.839506172837</v>
      </c>
      <c r="T36" s="163">
        <v>71</v>
      </c>
      <c r="U36" s="164" t="s">
        <v>122</v>
      </c>
    </row>
    <row r="37" spans="1:31" x14ac:dyDescent="0.3">
      <c r="A37" s="101" t="s">
        <v>89</v>
      </c>
      <c r="B37" s="80">
        <v>44774</v>
      </c>
      <c r="C37" s="93">
        <v>3773</v>
      </c>
      <c r="D37" s="82">
        <v>29</v>
      </c>
      <c r="E37" s="115">
        <v>518.12</v>
      </c>
      <c r="F37" s="94">
        <f t="shared" si="9"/>
        <v>17.866206896551724</v>
      </c>
      <c r="G37" s="84">
        <f t="shared" si="10"/>
        <v>0.13732308507818711</v>
      </c>
      <c r="H37" s="85">
        <v>4353</v>
      </c>
      <c r="I37" s="86">
        <v>29</v>
      </c>
      <c r="J37" s="116">
        <v>594.59</v>
      </c>
      <c r="K37" s="87">
        <f t="shared" si="11"/>
        <v>20.503103448275862</v>
      </c>
      <c r="L37" s="88">
        <f t="shared" si="12"/>
        <v>0.13659315414656559</v>
      </c>
      <c r="M37" s="96">
        <v>13</v>
      </c>
      <c r="N37" s="90">
        <f t="shared" si="13"/>
        <v>8126</v>
      </c>
      <c r="O37" s="52">
        <f t="shared" si="14"/>
        <v>1112.71</v>
      </c>
      <c r="P37" s="168">
        <v>3859408</v>
      </c>
      <c r="Q37" s="169">
        <f t="shared" si="15"/>
        <v>474.94560669456069</v>
      </c>
      <c r="R37" s="173">
        <f t="shared" si="16"/>
        <v>2.3428156494467545</v>
      </c>
      <c r="S37" s="168">
        <f t="shared" si="17"/>
        <v>47647.01234567901</v>
      </c>
      <c r="T37" s="163">
        <v>86</v>
      </c>
      <c r="U37" s="164" t="s">
        <v>123</v>
      </c>
    </row>
    <row r="38" spans="1:31" x14ac:dyDescent="0.3">
      <c r="A38" s="101" t="s">
        <v>90</v>
      </c>
      <c r="B38" s="80">
        <v>44805</v>
      </c>
      <c r="C38" s="93">
        <v>3969</v>
      </c>
      <c r="D38" s="82">
        <v>29</v>
      </c>
      <c r="E38" s="115">
        <v>542.24</v>
      </c>
      <c r="F38" s="94">
        <f t="shared" si="9"/>
        <v>18.69793103448276</v>
      </c>
      <c r="G38" s="84">
        <f t="shared" si="10"/>
        <v>0.13661879566641472</v>
      </c>
      <c r="H38" s="85">
        <v>4912</v>
      </c>
      <c r="I38" s="86">
        <v>29</v>
      </c>
      <c r="J38" s="116">
        <v>666.27</v>
      </c>
      <c r="K38" s="87">
        <f t="shared" si="11"/>
        <v>22.974827586206896</v>
      </c>
      <c r="L38" s="88">
        <f t="shared" si="12"/>
        <v>0.13564128664495115</v>
      </c>
      <c r="M38" s="96">
        <v>12</v>
      </c>
      <c r="N38" s="90">
        <f t="shared" si="13"/>
        <v>8881</v>
      </c>
      <c r="O38" s="52">
        <f t="shared" si="14"/>
        <v>1208.51</v>
      </c>
      <c r="P38" s="168">
        <v>3851706</v>
      </c>
      <c r="Q38" s="169">
        <f t="shared" si="15"/>
        <v>433.70183537889875</v>
      </c>
      <c r="R38" s="173">
        <f t="shared" si="16"/>
        <v>2.7864996212068109</v>
      </c>
      <c r="S38" s="168">
        <f t="shared" si="17"/>
        <v>47551.925925925927</v>
      </c>
      <c r="T38" s="163">
        <v>86</v>
      </c>
      <c r="U38" s="164" t="s">
        <v>124</v>
      </c>
    </row>
    <row r="39" spans="1:31" x14ac:dyDescent="0.3">
      <c r="A39" s="122" t="s">
        <v>95</v>
      </c>
      <c r="B39" s="156">
        <v>44835</v>
      </c>
      <c r="C39" s="93">
        <v>3606</v>
      </c>
      <c r="D39" s="82">
        <v>32</v>
      </c>
      <c r="E39" s="115">
        <v>494.21</v>
      </c>
      <c r="F39" s="94">
        <f t="shared" si="9"/>
        <v>15.444062499999999</v>
      </c>
      <c r="G39" s="84">
        <f t="shared" si="10"/>
        <v>0.13705213533000554</v>
      </c>
      <c r="H39" s="85">
        <v>4406</v>
      </c>
      <c r="I39" s="86">
        <v>32</v>
      </c>
      <c r="J39" s="116">
        <v>599.35</v>
      </c>
      <c r="K39" s="87">
        <f t="shared" si="11"/>
        <v>18.729687500000001</v>
      </c>
      <c r="L39" s="88">
        <f t="shared" si="12"/>
        <v>0.13603041307308217</v>
      </c>
      <c r="M39" s="96">
        <v>3</v>
      </c>
      <c r="N39" s="90">
        <f t="shared" si="13"/>
        <v>8012</v>
      </c>
      <c r="O39" s="52">
        <f t="shared" si="14"/>
        <v>1093.56</v>
      </c>
      <c r="P39" s="168">
        <v>2874341</v>
      </c>
      <c r="Q39" s="169">
        <f t="shared" si="15"/>
        <v>358.75449326010983</v>
      </c>
      <c r="R39" s="173">
        <f t="shared" si="16"/>
        <v>3.0482126929268309</v>
      </c>
      <c r="S39" s="168">
        <f t="shared" si="17"/>
        <v>35485.691358024691</v>
      </c>
      <c r="T39" s="163">
        <v>79</v>
      </c>
      <c r="U39" s="164" t="s">
        <v>125</v>
      </c>
    </row>
    <row r="40" spans="1:31" x14ac:dyDescent="0.3">
      <c r="A40" s="101" t="s">
        <v>94</v>
      </c>
      <c r="B40" s="80">
        <v>44866</v>
      </c>
      <c r="C40" s="93">
        <v>2419</v>
      </c>
      <c r="D40" s="82">
        <v>29</v>
      </c>
      <c r="E40" s="115">
        <v>338.23</v>
      </c>
      <c r="F40" s="94">
        <f t="shared" si="9"/>
        <v>11.663103448275862</v>
      </c>
      <c r="G40" s="84">
        <f t="shared" si="10"/>
        <v>0.13982224059528731</v>
      </c>
      <c r="H40" s="85">
        <v>2244</v>
      </c>
      <c r="I40" s="86">
        <v>29</v>
      </c>
      <c r="J40" s="116">
        <v>315.20999999999998</v>
      </c>
      <c r="K40" s="87">
        <f t="shared" si="11"/>
        <v>10.869310344827586</v>
      </c>
      <c r="L40" s="88">
        <f t="shared" si="12"/>
        <v>0.14046791443850268</v>
      </c>
      <c r="M40" s="89"/>
      <c r="N40" s="90">
        <f t="shared" si="13"/>
        <v>4663</v>
      </c>
      <c r="O40" s="52">
        <f t="shared" si="14"/>
        <v>653.44000000000005</v>
      </c>
      <c r="P40" s="168">
        <v>1723900</v>
      </c>
      <c r="Q40" s="169">
        <f t="shared" si="15"/>
        <v>369.69761955822435</v>
      </c>
      <c r="R40" s="173">
        <f t="shared" si="16"/>
        <v>1.7674985323974708</v>
      </c>
      <c r="S40" s="168">
        <f t="shared" si="17"/>
        <v>21282.716049382718</v>
      </c>
      <c r="T40" s="163">
        <v>66</v>
      </c>
      <c r="U40" s="164" t="s">
        <v>115</v>
      </c>
    </row>
    <row r="41" spans="1:31" x14ac:dyDescent="0.3">
      <c r="A41" s="101" t="s">
        <v>93</v>
      </c>
      <c r="B41" s="80">
        <v>44896</v>
      </c>
      <c r="C41" s="93">
        <v>2347</v>
      </c>
      <c r="D41" s="82">
        <v>33</v>
      </c>
      <c r="E41" s="115">
        <v>328.72</v>
      </c>
      <c r="F41" s="94">
        <f t="shared" si="9"/>
        <v>9.9612121212121227</v>
      </c>
      <c r="G41" s="84">
        <f t="shared" si="10"/>
        <v>0.14005965061780998</v>
      </c>
      <c r="H41" s="85">
        <v>1932</v>
      </c>
      <c r="I41" s="86">
        <v>33</v>
      </c>
      <c r="J41" s="116">
        <v>203.25</v>
      </c>
      <c r="K41" s="87">
        <f t="shared" si="11"/>
        <v>6.1590909090909092</v>
      </c>
      <c r="L41" s="88">
        <f t="shared" si="12"/>
        <v>0.10520186335403726</v>
      </c>
      <c r="M41" s="89"/>
      <c r="N41" s="90">
        <f t="shared" si="13"/>
        <v>4279</v>
      </c>
      <c r="O41" s="52">
        <f t="shared" si="14"/>
        <v>531.97</v>
      </c>
      <c r="P41" s="168">
        <v>1068900</v>
      </c>
      <c r="Q41" s="169">
        <f t="shared" si="15"/>
        <v>249.80135545688245</v>
      </c>
      <c r="R41" s="173">
        <f t="shared" si="16"/>
        <v>2.1295721115165125</v>
      </c>
      <c r="S41" s="168">
        <f t="shared" si="17"/>
        <v>13196.296296296296</v>
      </c>
      <c r="T41" s="163">
        <v>46</v>
      </c>
      <c r="U41" s="164" t="s">
        <v>116</v>
      </c>
    </row>
    <row r="42" spans="1:31" x14ac:dyDescent="0.3">
      <c r="A42" s="109" t="s">
        <v>100</v>
      </c>
      <c r="B42" s="110">
        <v>44927</v>
      </c>
      <c r="C42" s="93">
        <v>2403</v>
      </c>
      <c r="D42" s="82">
        <v>31</v>
      </c>
      <c r="E42" s="115">
        <v>341.22</v>
      </c>
      <c r="F42" s="94">
        <f t="shared" si="9"/>
        <v>11.007096774193549</v>
      </c>
      <c r="G42" s="84">
        <f t="shared" si="10"/>
        <v>0.14199750312109863</v>
      </c>
      <c r="H42" s="85">
        <v>1895</v>
      </c>
      <c r="I42" s="86">
        <v>31</v>
      </c>
      <c r="J42" s="116">
        <v>273.39999999999998</v>
      </c>
      <c r="K42" s="87">
        <f t="shared" si="11"/>
        <v>8.8193548387096765</v>
      </c>
      <c r="L42" s="88">
        <f t="shared" si="12"/>
        <v>0.14427440633245381</v>
      </c>
      <c r="M42" s="89"/>
      <c r="N42" s="90">
        <f t="shared" si="13"/>
        <v>4298</v>
      </c>
      <c r="O42" s="52">
        <f t="shared" si="14"/>
        <v>614.62</v>
      </c>
      <c r="P42" s="168">
        <v>1195900</v>
      </c>
      <c r="Q42" s="169">
        <f t="shared" si="15"/>
        <v>278.24569567240576</v>
      </c>
      <c r="R42" s="173">
        <f t="shared" si="16"/>
        <v>2.2089110795216991</v>
      </c>
      <c r="S42" s="168">
        <f t="shared" si="17"/>
        <v>14764.197530864198</v>
      </c>
      <c r="T42" s="163">
        <v>43</v>
      </c>
      <c r="U42" s="164" t="s">
        <v>117</v>
      </c>
    </row>
    <row r="43" spans="1:31" x14ac:dyDescent="0.3">
      <c r="A43" s="101" t="s">
        <v>104</v>
      </c>
      <c r="B43" s="80">
        <v>44958</v>
      </c>
      <c r="C43" s="93">
        <v>2609</v>
      </c>
      <c r="D43" s="82">
        <v>32</v>
      </c>
      <c r="E43" s="115">
        <v>397.55</v>
      </c>
      <c r="F43" s="94">
        <f t="shared" si="9"/>
        <v>12.4234375</v>
      </c>
      <c r="G43" s="84">
        <f t="shared" si="10"/>
        <v>0.15237638942123419</v>
      </c>
      <c r="H43" s="85">
        <v>1817</v>
      </c>
      <c r="I43" s="86">
        <v>32</v>
      </c>
      <c r="J43" s="116">
        <v>283.02999999999997</v>
      </c>
      <c r="K43" s="87">
        <f t="shared" si="11"/>
        <v>8.8446874999999991</v>
      </c>
      <c r="L43" s="88">
        <f t="shared" si="12"/>
        <v>0.15576774903687396</v>
      </c>
      <c r="M43" s="89"/>
      <c r="N43" s="90">
        <f t="shared" si="13"/>
        <v>4426</v>
      </c>
      <c r="O43" s="52">
        <f t="shared" si="14"/>
        <v>680.57999999999993</v>
      </c>
      <c r="P43" s="168">
        <v>1339000</v>
      </c>
      <c r="Q43" s="169">
        <f t="shared" si="15"/>
        <v>302.5305015815635</v>
      </c>
      <c r="R43" s="173">
        <f t="shared" si="16"/>
        <v>2.2496244062733379</v>
      </c>
      <c r="S43" s="168">
        <f t="shared" si="17"/>
        <v>16530.864197530864</v>
      </c>
      <c r="T43" s="163">
        <v>47</v>
      </c>
      <c r="U43" s="164" t="s">
        <v>118</v>
      </c>
      <c r="AC43">
        <f>0.01836+0.02997</f>
        <v>4.8329999999999998E-2</v>
      </c>
      <c r="AD43">
        <f>0.03117+0.0509</f>
        <v>8.2070000000000004E-2</v>
      </c>
      <c r="AE43">
        <f>0.055083+0.08991</f>
        <v>0.14499300000000001</v>
      </c>
    </row>
    <row r="44" spans="1:31" x14ac:dyDescent="0.3">
      <c r="A44" s="101" t="s">
        <v>105</v>
      </c>
      <c r="B44" s="80">
        <v>44986</v>
      </c>
      <c r="C44" s="93">
        <v>2344</v>
      </c>
      <c r="D44" s="82">
        <v>29</v>
      </c>
      <c r="E44" s="115">
        <v>358.83</v>
      </c>
      <c r="F44" s="94">
        <f t="shared" si="9"/>
        <v>12.373448275862069</v>
      </c>
      <c r="G44" s="84">
        <f t="shared" si="10"/>
        <v>0.15308447098976108</v>
      </c>
      <c r="H44" s="85">
        <v>1606</v>
      </c>
      <c r="I44" s="86">
        <v>29</v>
      </c>
      <c r="J44" s="116">
        <v>252.23</v>
      </c>
      <c r="K44" s="87">
        <f t="shared" si="11"/>
        <v>8.6975862068965508</v>
      </c>
      <c r="L44" s="88">
        <f t="shared" si="12"/>
        <v>0.15705479452054794</v>
      </c>
      <c r="M44" s="89"/>
      <c r="N44" s="90">
        <f t="shared" si="13"/>
        <v>3950</v>
      </c>
      <c r="O44" s="52">
        <f t="shared" si="14"/>
        <v>611.05999999999995</v>
      </c>
      <c r="P44" s="168">
        <v>1161995</v>
      </c>
      <c r="Q44" s="169">
        <f t="shared" si="15"/>
        <v>294.17594936708861</v>
      </c>
      <c r="R44" s="173">
        <f t="shared" si="16"/>
        <v>2.0771922426516465</v>
      </c>
      <c r="S44" s="168">
        <f t="shared" si="17"/>
        <v>14345.617283950618</v>
      </c>
      <c r="T44" s="163">
        <v>46</v>
      </c>
      <c r="U44" s="164" t="s">
        <v>119</v>
      </c>
    </row>
    <row r="45" spans="1:31" s="51" customFormat="1" ht="15" customHeight="1" x14ac:dyDescent="0.25">
      <c r="A45" s="101" t="s">
        <v>111</v>
      </c>
      <c r="B45" s="97">
        <v>45017</v>
      </c>
      <c r="C45" s="93">
        <v>2314</v>
      </c>
      <c r="D45" s="82">
        <v>29</v>
      </c>
      <c r="E45" s="115">
        <v>354.93</v>
      </c>
      <c r="F45" s="94">
        <f t="shared" si="9"/>
        <v>12.238965517241379</v>
      </c>
      <c r="G45" s="84">
        <f t="shared" si="10"/>
        <v>0.1533837510803803</v>
      </c>
      <c r="H45" s="85">
        <v>1574</v>
      </c>
      <c r="I45" s="86">
        <v>29</v>
      </c>
      <c r="J45" s="116">
        <v>247.9</v>
      </c>
      <c r="K45" s="87">
        <f t="shared" si="11"/>
        <v>8.5482758620689658</v>
      </c>
      <c r="L45" s="88">
        <f t="shared" si="12"/>
        <v>0.15749682337992377</v>
      </c>
      <c r="M45" s="89"/>
      <c r="N45" s="90">
        <f t="shared" si="13"/>
        <v>3888</v>
      </c>
      <c r="O45" s="52">
        <f t="shared" si="14"/>
        <v>602.83000000000004</v>
      </c>
      <c r="P45" s="168">
        <v>1284366</v>
      </c>
      <c r="Q45" s="169">
        <f t="shared" si="15"/>
        <v>330.34104938271605</v>
      </c>
      <c r="R45" s="173">
        <f t="shared" si="16"/>
        <v>1.8248716020199851</v>
      </c>
      <c r="S45" s="168">
        <f t="shared" si="17"/>
        <v>15856.37037037037</v>
      </c>
      <c r="T45" s="163">
        <v>49</v>
      </c>
      <c r="U45" s="164" t="s">
        <v>120</v>
      </c>
    </row>
    <row r="46" spans="1:31" s="51" customFormat="1" ht="15" customHeight="1" x14ac:dyDescent="0.25">
      <c r="A46" s="101" t="s">
        <v>112</v>
      </c>
      <c r="B46" s="80">
        <v>45047</v>
      </c>
      <c r="C46" s="93">
        <v>2348</v>
      </c>
      <c r="D46" s="82">
        <v>29</v>
      </c>
      <c r="E46" s="115">
        <v>361.64</v>
      </c>
      <c r="F46" s="94">
        <f t="shared" si="9"/>
        <v>12.470344827586207</v>
      </c>
      <c r="G46" s="84">
        <f t="shared" si="10"/>
        <v>0.15402044293015332</v>
      </c>
      <c r="H46" s="85">
        <v>1522</v>
      </c>
      <c r="I46" s="86">
        <v>29</v>
      </c>
      <c r="J46" s="116">
        <v>241.59</v>
      </c>
      <c r="K46" s="87">
        <f t="shared" si="11"/>
        <v>8.3306896551724137</v>
      </c>
      <c r="L46" s="88">
        <f t="shared" si="12"/>
        <v>0.15873193166885677</v>
      </c>
      <c r="M46" s="89"/>
      <c r="N46" s="90">
        <f t="shared" si="13"/>
        <v>3870</v>
      </c>
      <c r="O46" s="52">
        <f t="shared" si="14"/>
        <v>603.23</v>
      </c>
      <c r="P46" s="168">
        <v>1206811</v>
      </c>
      <c r="Q46" s="169">
        <f t="shared" si="15"/>
        <v>311.8374677002584</v>
      </c>
      <c r="R46" s="173">
        <f t="shared" si="16"/>
        <v>1.9344372068202893</v>
      </c>
      <c r="S46" s="168">
        <f t="shared" si="17"/>
        <v>14898.901234567902</v>
      </c>
      <c r="T46" s="163">
        <v>56</v>
      </c>
      <c r="U46" s="164" t="s">
        <v>121</v>
      </c>
    </row>
    <row r="47" spans="1:31" s="51" customFormat="1" ht="15" customHeight="1" x14ac:dyDescent="0.25">
      <c r="A47" s="101" t="s">
        <v>110</v>
      </c>
      <c r="B47" s="97">
        <v>45078</v>
      </c>
      <c r="C47" s="93">
        <v>4034</v>
      </c>
      <c r="D47" s="82">
        <v>32</v>
      </c>
      <c r="E47" s="115">
        <v>606.75</v>
      </c>
      <c r="F47" s="94">
        <f t="shared" si="9"/>
        <v>18.9609375</v>
      </c>
      <c r="G47" s="84">
        <f t="shared" si="10"/>
        <v>0.15040902330193356</v>
      </c>
      <c r="H47" s="85">
        <v>3341</v>
      </c>
      <c r="I47" s="86">
        <v>32</v>
      </c>
      <c r="J47" s="116">
        <v>505.99</v>
      </c>
      <c r="K47" s="87">
        <f t="shared" si="11"/>
        <v>15.8121875</v>
      </c>
      <c r="L47" s="88">
        <f t="shared" si="12"/>
        <v>0.15144866806345406</v>
      </c>
      <c r="M47" s="96">
        <v>3</v>
      </c>
      <c r="N47" s="90">
        <f t="shared" si="13"/>
        <v>7375</v>
      </c>
      <c r="O47" s="52">
        <f t="shared" si="14"/>
        <v>1112.74</v>
      </c>
      <c r="P47" s="168">
        <v>2162088</v>
      </c>
      <c r="Q47" s="169">
        <f t="shared" si="15"/>
        <v>293.16447457627118</v>
      </c>
      <c r="R47" s="173">
        <f t="shared" si="16"/>
        <v>3.7956167834056709</v>
      </c>
      <c r="S47" s="168">
        <f t="shared" si="17"/>
        <v>26692.444444444445</v>
      </c>
      <c r="T47" s="163">
        <v>73</v>
      </c>
      <c r="U47" s="164" t="s">
        <v>113</v>
      </c>
    </row>
    <row r="48" spans="1:31" s="51" customFormat="1" ht="15" customHeight="1" x14ac:dyDescent="0.25">
      <c r="A48" s="101" t="s">
        <v>162</v>
      </c>
      <c r="B48" s="97">
        <v>45108</v>
      </c>
      <c r="C48" s="93">
        <v>4319</v>
      </c>
      <c r="D48" s="82">
        <v>30</v>
      </c>
      <c r="E48" s="115">
        <v>648.03</v>
      </c>
      <c r="F48" s="94">
        <f t="shared" si="9"/>
        <v>21.600999999999999</v>
      </c>
      <c r="G48" s="84">
        <f t="shared" si="10"/>
        <v>0.15004167631396156</v>
      </c>
      <c r="H48" s="85">
        <v>4333</v>
      </c>
      <c r="I48" s="86">
        <v>30</v>
      </c>
      <c r="J48" s="116">
        <v>650.05999999999995</v>
      </c>
      <c r="K48" s="87">
        <f t="shared" si="11"/>
        <v>21.668666666666663</v>
      </c>
      <c r="L48" s="88">
        <f t="shared" si="12"/>
        <v>0.15002538656819753</v>
      </c>
      <c r="M48" s="96">
        <v>3</v>
      </c>
      <c r="N48" s="90">
        <f t="shared" si="13"/>
        <v>8652</v>
      </c>
      <c r="O48" s="52">
        <f t="shared" si="14"/>
        <v>1298.0899999999999</v>
      </c>
      <c r="P48" s="168">
        <v>3061637</v>
      </c>
      <c r="Q48" s="169">
        <f t="shared" si="15"/>
        <v>353.86465557096625</v>
      </c>
      <c r="R48" s="173">
        <f t="shared" si="16"/>
        <v>3.6683234099927584</v>
      </c>
      <c r="S48" s="168">
        <f t="shared" si="17"/>
        <v>37797.98765432099</v>
      </c>
      <c r="T48" s="163">
        <v>76</v>
      </c>
      <c r="U48" s="164" t="s">
        <v>122</v>
      </c>
    </row>
    <row r="49" spans="1:24" s="51" customFormat="1" ht="15" customHeight="1" x14ac:dyDescent="0.25">
      <c r="A49" s="101" t="s">
        <v>163</v>
      </c>
      <c r="B49" s="97">
        <v>45139</v>
      </c>
      <c r="C49" s="93">
        <v>4643</v>
      </c>
      <c r="D49" s="82">
        <v>29</v>
      </c>
      <c r="E49" s="115">
        <v>694.29</v>
      </c>
      <c r="F49" s="94">
        <f t="shared" si="9"/>
        <v>23.941034482758621</v>
      </c>
      <c r="G49" s="84">
        <f t="shared" si="10"/>
        <v>0.14953478354512167</v>
      </c>
      <c r="H49" s="85">
        <v>5167</v>
      </c>
      <c r="I49" s="86">
        <v>29</v>
      </c>
      <c r="J49" s="116">
        <v>763.88</v>
      </c>
      <c r="K49" s="87">
        <f t="shared" si="11"/>
        <v>26.340689655172415</v>
      </c>
      <c r="L49" s="88">
        <f t="shared" si="12"/>
        <v>0.14783820398683956</v>
      </c>
      <c r="M49" s="96">
        <v>5</v>
      </c>
      <c r="N49" s="90">
        <f t="shared" si="13"/>
        <v>9810</v>
      </c>
      <c r="O49" s="52">
        <f t="shared" si="14"/>
        <v>1458.17</v>
      </c>
      <c r="P49" s="168">
        <v>4009490</v>
      </c>
      <c r="Q49" s="169">
        <f t="shared" si="15"/>
        <v>408.71457696228339</v>
      </c>
      <c r="R49" s="173">
        <f t="shared" si="16"/>
        <v>3.5676975625328908</v>
      </c>
      <c r="S49" s="168">
        <f t="shared" si="17"/>
        <v>49499.876543209873</v>
      </c>
      <c r="T49" s="163">
        <v>85</v>
      </c>
      <c r="U49" s="164" t="s">
        <v>123</v>
      </c>
    </row>
    <row r="50" spans="1:24" s="51" customFormat="1" ht="15" customHeight="1" x14ac:dyDescent="0.25">
      <c r="A50" s="101" t="s">
        <v>165</v>
      </c>
      <c r="B50" s="97">
        <v>45170</v>
      </c>
      <c r="C50" s="93">
        <v>4907</v>
      </c>
      <c r="D50" s="82">
        <v>33</v>
      </c>
      <c r="E50" s="115">
        <v>732.61</v>
      </c>
      <c r="F50" s="94">
        <f t="shared" si="9"/>
        <v>22.200303030303029</v>
      </c>
      <c r="G50" s="84">
        <f t="shared" si="10"/>
        <v>0.14929896066843285</v>
      </c>
      <c r="H50" s="85">
        <v>4770</v>
      </c>
      <c r="I50" s="86">
        <v>33</v>
      </c>
      <c r="J50" s="116">
        <v>712.74</v>
      </c>
      <c r="K50" s="87">
        <f t="shared" si="11"/>
        <v>21.598181818181818</v>
      </c>
      <c r="L50" s="88">
        <f t="shared" si="12"/>
        <v>0.14942138364779875</v>
      </c>
      <c r="M50" s="96">
        <v>10</v>
      </c>
      <c r="N50" s="90">
        <f t="shared" si="13"/>
        <v>9677</v>
      </c>
      <c r="O50" s="52">
        <f t="shared" si="14"/>
        <v>1445.35</v>
      </c>
      <c r="P50" s="168">
        <v>3720263</v>
      </c>
      <c r="Q50" s="169">
        <f t="shared" si="15"/>
        <v>384.44383589955567</v>
      </c>
      <c r="R50" s="173">
        <f t="shared" si="16"/>
        <v>3.7595868759816171</v>
      </c>
      <c r="S50" s="168">
        <f t="shared" si="17"/>
        <v>45929.172839506173</v>
      </c>
      <c r="T50" s="163">
        <v>86</v>
      </c>
      <c r="U50" s="165" t="s">
        <v>124</v>
      </c>
    </row>
    <row r="51" spans="1:24" s="51" customFormat="1" ht="15" customHeight="1" x14ac:dyDescent="0.25">
      <c r="A51" s="160" t="s">
        <v>191</v>
      </c>
      <c r="B51" s="152">
        <v>45200</v>
      </c>
      <c r="C51" s="93">
        <v>3137</v>
      </c>
      <c r="D51" s="82">
        <v>29</v>
      </c>
      <c r="E51" s="115">
        <v>457.12</v>
      </c>
      <c r="F51" s="94">
        <f t="shared" si="9"/>
        <v>15.762758620689656</v>
      </c>
      <c r="G51" s="84">
        <f t="shared" si="10"/>
        <v>0.14571883965572202</v>
      </c>
      <c r="H51" s="85">
        <v>2823</v>
      </c>
      <c r="I51" s="86">
        <v>29</v>
      </c>
      <c r="J51" s="116">
        <v>408.67</v>
      </c>
      <c r="K51" s="87">
        <f t="shared" si="11"/>
        <v>14.092068965517242</v>
      </c>
      <c r="L51" s="88">
        <f t="shared" si="12"/>
        <v>0.14476443499822883</v>
      </c>
      <c r="M51" s="96">
        <v>2</v>
      </c>
      <c r="N51" s="90">
        <f t="shared" si="13"/>
        <v>5960</v>
      </c>
      <c r="O51" s="52">
        <f t="shared" si="14"/>
        <v>865.79</v>
      </c>
      <c r="P51" s="168">
        <v>2306867</v>
      </c>
      <c r="Q51" s="169">
        <f t="shared" si="15"/>
        <v>387.05822147651008</v>
      </c>
      <c r="R51" s="173">
        <f t="shared" si="16"/>
        <v>2.2368469443622017</v>
      </c>
      <c r="S51" s="168">
        <f t="shared" si="17"/>
        <v>28479.839506172841</v>
      </c>
      <c r="T51" s="163">
        <v>73</v>
      </c>
      <c r="U51" s="165" t="s">
        <v>125</v>
      </c>
      <c r="V51" s="121">
        <f>1473+1516</f>
        <v>2989</v>
      </c>
      <c r="W51" s="121">
        <f>1019+1201</f>
        <v>2220</v>
      </c>
      <c r="X51" s="121">
        <f>331+420</f>
        <v>751</v>
      </c>
    </row>
    <row r="52" spans="1:24" s="51" customFormat="1" ht="15" customHeight="1" x14ac:dyDescent="0.25">
      <c r="A52" s="127" t="s">
        <v>192</v>
      </c>
      <c r="B52" s="152">
        <v>45231</v>
      </c>
      <c r="C52" s="93">
        <v>2006</v>
      </c>
      <c r="D52" s="82">
        <v>30</v>
      </c>
      <c r="E52" s="115">
        <v>307.27</v>
      </c>
      <c r="F52" s="94">
        <f t="shared" si="9"/>
        <v>10.242333333333333</v>
      </c>
      <c r="G52" s="84">
        <f t="shared" si="10"/>
        <v>0.1531754735792622</v>
      </c>
      <c r="H52" s="85">
        <v>1398</v>
      </c>
      <c r="I52" s="86">
        <v>34</v>
      </c>
      <c r="J52" s="116">
        <v>219.74</v>
      </c>
      <c r="K52" s="87">
        <f t="shared" si="11"/>
        <v>6.4629411764705882</v>
      </c>
      <c r="L52" s="88">
        <f t="shared" si="12"/>
        <v>0.15718168812589414</v>
      </c>
      <c r="M52" s="89"/>
      <c r="N52" s="90">
        <f t="shared" si="13"/>
        <v>3404</v>
      </c>
      <c r="O52" s="52">
        <f t="shared" si="14"/>
        <v>527.01</v>
      </c>
      <c r="P52" s="168">
        <v>988824</v>
      </c>
      <c r="Q52" s="169">
        <f t="shared" si="15"/>
        <v>290.48883666274969</v>
      </c>
      <c r="R52" s="173">
        <f t="shared" si="16"/>
        <v>1.8142177374335575</v>
      </c>
      <c r="S52" s="168">
        <f t="shared" si="17"/>
        <v>12207.703703703704</v>
      </c>
      <c r="T52" s="163">
        <v>63</v>
      </c>
      <c r="U52" s="165" t="s">
        <v>115</v>
      </c>
      <c r="V52" s="121">
        <f>831+615</f>
        <v>1446</v>
      </c>
      <c r="W52" s="121">
        <f>855+557</f>
        <v>1412</v>
      </c>
      <c r="X52" s="121">
        <f>320+226</f>
        <v>546</v>
      </c>
    </row>
    <row r="53" spans="1:24" s="51" customFormat="1" ht="15" customHeight="1" x14ac:dyDescent="0.25">
      <c r="A53" s="127" t="s">
        <v>193</v>
      </c>
      <c r="B53" s="152">
        <v>45261</v>
      </c>
      <c r="C53" s="93">
        <v>2384</v>
      </c>
      <c r="D53" s="82">
        <v>34</v>
      </c>
      <c r="E53" s="115">
        <v>366.84</v>
      </c>
      <c r="F53" s="94">
        <f t="shared" si="9"/>
        <v>10.789411764705882</v>
      </c>
      <c r="G53" s="84">
        <f t="shared" si="10"/>
        <v>0.15387583892617449</v>
      </c>
      <c r="H53" s="85">
        <v>1267</v>
      </c>
      <c r="I53" s="86">
        <v>30</v>
      </c>
      <c r="J53" s="116">
        <v>207.21</v>
      </c>
      <c r="K53" s="87">
        <f t="shared" si="11"/>
        <v>6.907</v>
      </c>
      <c r="L53" s="88">
        <f t="shared" si="12"/>
        <v>0.16354380426203632</v>
      </c>
      <c r="M53" s="89"/>
      <c r="N53" s="90">
        <f t="shared" si="13"/>
        <v>3651</v>
      </c>
      <c r="O53" s="52">
        <f t="shared" si="14"/>
        <v>574.04999999999995</v>
      </c>
      <c r="P53" s="168">
        <v>942245</v>
      </c>
      <c r="Q53" s="169">
        <f t="shared" si="15"/>
        <v>258.07860860038346</v>
      </c>
      <c r="R53" s="173">
        <f t="shared" si="16"/>
        <v>2.2243222834825334</v>
      </c>
      <c r="S53" s="168">
        <f t="shared" si="17"/>
        <v>11632.654320987655</v>
      </c>
      <c r="T53" s="163">
        <v>51</v>
      </c>
      <c r="U53" s="165" t="s">
        <v>116</v>
      </c>
      <c r="V53" s="121">
        <f>1052+510</f>
        <v>1562</v>
      </c>
      <c r="W53" s="121">
        <f>850+466</f>
        <v>1316</v>
      </c>
      <c r="X53" s="121">
        <f>482+291</f>
        <v>773</v>
      </c>
    </row>
    <row r="54" spans="1:24" s="51" customFormat="1" ht="15.6" customHeight="1" x14ac:dyDescent="0.25">
      <c r="A54" s="201" t="s">
        <v>199</v>
      </c>
      <c r="B54" s="155">
        <v>45292</v>
      </c>
      <c r="C54" s="93">
        <v>2626</v>
      </c>
      <c r="D54" s="82">
        <v>34</v>
      </c>
      <c r="E54" s="115">
        <v>409.96</v>
      </c>
      <c r="F54" s="94">
        <f t="shared" si="9"/>
        <v>12.057647058823528</v>
      </c>
      <c r="G54" s="84">
        <f t="shared" si="10"/>
        <v>0.15611576542269612</v>
      </c>
      <c r="H54" s="85">
        <v>1737</v>
      </c>
      <c r="I54" s="86">
        <v>34</v>
      </c>
      <c r="J54" s="116">
        <v>280.13</v>
      </c>
      <c r="K54" s="87">
        <f t="shared" si="11"/>
        <v>8.2391176470588228</v>
      </c>
      <c r="L54" s="88">
        <f t="shared" si="12"/>
        <v>0.16127230857800806</v>
      </c>
      <c r="M54" s="89"/>
      <c r="N54" s="90">
        <f t="shared" si="13"/>
        <v>4363</v>
      </c>
      <c r="O54" s="52">
        <f t="shared" si="14"/>
        <v>690.08999999999992</v>
      </c>
      <c r="P54" s="168">
        <v>1201123</v>
      </c>
      <c r="Q54" s="169">
        <f t="shared" si="15"/>
        <v>275.29750171900071</v>
      </c>
      <c r="R54" s="173">
        <f t="shared" si="16"/>
        <v>2.5067063656261679</v>
      </c>
      <c r="S54" s="168">
        <f t="shared" si="17"/>
        <v>14828.679012345679</v>
      </c>
      <c r="T54" s="163">
        <v>49</v>
      </c>
      <c r="U54" s="165" t="s">
        <v>117</v>
      </c>
      <c r="V54" s="121">
        <f>971.455+261.545+620.061+166.939</f>
        <v>2020.0000000000002</v>
      </c>
      <c r="W54" s="121">
        <f>707.515+190.485+471.152+126.848</f>
        <v>1496</v>
      </c>
      <c r="X54" s="121">
        <f>390+105+277.333+74.667</f>
        <v>847.00000000000011</v>
      </c>
    </row>
    <row r="55" spans="1:24" s="51" customFormat="1" ht="15" customHeight="1" x14ac:dyDescent="0.25">
      <c r="A55" s="101" t="s">
        <v>198</v>
      </c>
      <c r="B55" s="97">
        <v>45323</v>
      </c>
      <c r="C55" s="93">
        <v>2437</v>
      </c>
      <c r="D55" s="82">
        <v>31</v>
      </c>
      <c r="E55" s="115">
        <v>429.56</v>
      </c>
      <c r="F55" s="94">
        <f t="shared" si="9"/>
        <v>13.856774193548388</v>
      </c>
      <c r="G55" s="84">
        <f t="shared" si="10"/>
        <v>0.176265900697579</v>
      </c>
      <c r="H55" s="85">
        <v>1771</v>
      </c>
      <c r="I55" s="86">
        <v>31</v>
      </c>
      <c r="J55" s="116">
        <v>314.12</v>
      </c>
      <c r="K55" s="87">
        <f t="shared" si="11"/>
        <v>10.132903225806452</v>
      </c>
      <c r="L55" s="88">
        <f t="shared" si="12"/>
        <v>0.17736871823828346</v>
      </c>
      <c r="M55" s="89"/>
      <c r="N55" s="90">
        <f t="shared" si="13"/>
        <v>4208</v>
      </c>
      <c r="O55" s="52">
        <f t="shared" si="14"/>
        <v>743.68000000000006</v>
      </c>
      <c r="P55" s="168">
        <v>1334558</v>
      </c>
      <c r="Q55" s="169">
        <f t="shared" si="15"/>
        <v>317.14781368821292</v>
      </c>
      <c r="R55" s="173">
        <f t="shared" si="16"/>
        <v>2.3449002890844763</v>
      </c>
      <c r="S55" s="168">
        <f t="shared" si="17"/>
        <v>16476.024691358023</v>
      </c>
      <c r="T55" s="163">
        <v>46</v>
      </c>
      <c r="U55" s="165" t="s">
        <v>118</v>
      </c>
      <c r="V55" s="121">
        <f>1023+708</f>
        <v>1731</v>
      </c>
      <c r="W55" s="121">
        <f>881+763</f>
        <v>1644</v>
      </c>
      <c r="X55" s="121">
        <f>533+300</f>
        <v>833</v>
      </c>
    </row>
    <row r="56" spans="1:24" s="51" customFormat="1" ht="15" x14ac:dyDescent="0.25">
      <c r="A56" s="101" t="s">
        <v>200</v>
      </c>
      <c r="B56" s="97">
        <v>45352</v>
      </c>
      <c r="C56" s="93">
        <v>2177</v>
      </c>
      <c r="D56" s="82">
        <v>30</v>
      </c>
      <c r="E56" s="115">
        <v>385.78</v>
      </c>
      <c r="F56" s="94">
        <f t="shared" si="9"/>
        <v>12.859333333333332</v>
      </c>
      <c r="G56" s="84">
        <f t="shared" si="10"/>
        <v>0.17720716582452917</v>
      </c>
      <c r="H56" s="85">
        <v>1510</v>
      </c>
      <c r="I56" s="86">
        <v>30</v>
      </c>
      <c r="J56" s="116">
        <v>274.25</v>
      </c>
      <c r="K56" s="87">
        <f t="shared" si="11"/>
        <v>9.1416666666666675</v>
      </c>
      <c r="L56" s="88">
        <f t="shared" si="12"/>
        <v>0.18162251655629139</v>
      </c>
      <c r="M56" s="89"/>
      <c r="N56" s="90">
        <f t="shared" si="13"/>
        <v>3687</v>
      </c>
      <c r="O56" s="52">
        <f t="shared" si="14"/>
        <v>660.03</v>
      </c>
      <c r="P56" s="168">
        <v>1105843</v>
      </c>
      <c r="Q56" s="169">
        <f t="shared" si="15"/>
        <v>299.93029563330623</v>
      </c>
      <c r="R56" s="173">
        <f t="shared" si="16"/>
        <v>2.2006113073917364</v>
      </c>
      <c r="S56" s="168">
        <f t="shared" si="17"/>
        <v>13652.382716049382</v>
      </c>
      <c r="T56" s="163">
        <v>51</v>
      </c>
      <c r="U56" s="165" t="s">
        <v>119</v>
      </c>
      <c r="V56" s="121">
        <f>909+602</f>
        <v>1511</v>
      </c>
      <c r="W56" s="121">
        <f>800.602</f>
        <v>800.60199999999998</v>
      </c>
      <c r="X56" s="121">
        <f>468+306</f>
        <v>774</v>
      </c>
    </row>
    <row r="57" spans="1:24" s="51" customFormat="1" ht="15" x14ac:dyDescent="0.25">
      <c r="A57" s="101" t="s">
        <v>202</v>
      </c>
      <c r="B57" s="97">
        <v>45383</v>
      </c>
      <c r="C57" s="93">
        <v>2139</v>
      </c>
      <c r="D57" s="82">
        <v>30</v>
      </c>
      <c r="E57" s="115">
        <v>379.43</v>
      </c>
      <c r="F57" s="94">
        <f t="shared" si="9"/>
        <v>12.647666666666668</v>
      </c>
      <c r="G57" s="84">
        <f t="shared" si="10"/>
        <v>0.17738662926601215</v>
      </c>
      <c r="H57" s="85">
        <v>1398</v>
      </c>
      <c r="I57" s="86">
        <v>30</v>
      </c>
      <c r="J57" s="116">
        <v>251.56</v>
      </c>
      <c r="K57" s="87">
        <f t="shared" si="11"/>
        <v>8.3853333333333335</v>
      </c>
      <c r="L57" s="88">
        <f t="shared" si="12"/>
        <v>0.17994277539341919</v>
      </c>
      <c r="M57" s="89"/>
      <c r="N57" s="90">
        <f t="shared" si="13"/>
        <v>3537</v>
      </c>
      <c r="O57" s="52">
        <f t="shared" si="14"/>
        <v>630.99</v>
      </c>
      <c r="P57" s="168">
        <v>1154157</v>
      </c>
      <c r="Q57" s="169">
        <f t="shared" si="15"/>
        <v>326.30958439355385</v>
      </c>
      <c r="R57" s="173">
        <f t="shared" si="16"/>
        <v>1.933715802962682</v>
      </c>
      <c r="S57" s="168">
        <f t="shared" si="17"/>
        <v>14248.851851851852</v>
      </c>
      <c r="T57" s="163">
        <v>55</v>
      </c>
      <c r="U57" s="165" t="s">
        <v>120</v>
      </c>
      <c r="V57" s="121">
        <f>899+604</f>
        <v>1503</v>
      </c>
      <c r="W57" s="121">
        <f>783+554</f>
        <v>1337</v>
      </c>
      <c r="X57" s="121">
        <f>457+240</f>
        <v>697</v>
      </c>
    </row>
    <row r="58" spans="1:24" s="51" customFormat="1" ht="15" x14ac:dyDescent="0.25">
      <c r="A58" s="101" t="s">
        <v>204</v>
      </c>
      <c r="B58" s="97">
        <v>45413</v>
      </c>
      <c r="C58" s="93">
        <v>2286</v>
      </c>
      <c r="D58" s="82">
        <v>32</v>
      </c>
      <c r="E58" s="115">
        <v>400.94</v>
      </c>
      <c r="F58" s="94">
        <f t="shared" si="9"/>
        <v>12.529375</v>
      </c>
      <c r="G58" s="84">
        <f t="shared" si="10"/>
        <v>0.17538932633420823</v>
      </c>
      <c r="H58" s="85">
        <v>1632</v>
      </c>
      <c r="I58" s="86">
        <v>32</v>
      </c>
      <c r="J58" s="116">
        <v>294.95999999999998</v>
      </c>
      <c r="K58" s="87">
        <f t="shared" si="11"/>
        <v>9.2174999999999994</v>
      </c>
      <c r="L58" s="88">
        <f t="shared" si="12"/>
        <v>0.18073529411764705</v>
      </c>
      <c r="M58" s="89"/>
      <c r="N58" s="90">
        <f t="shared" ref="N58:N84" si="18">C58+H58</f>
        <v>3918</v>
      </c>
      <c r="O58" s="52">
        <f t="shared" ref="O58:O84" si="19">E58+J58</f>
        <v>695.9</v>
      </c>
      <c r="P58" s="168">
        <v>1589712</v>
      </c>
      <c r="Q58" s="169">
        <f t="shared" si="15"/>
        <v>405.74578866768758</v>
      </c>
      <c r="R58" s="173">
        <f t="shared" si="16"/>
        <v>1.7151133035417736</v>
      </c>
      <c r="S58" s="168">
        <f t="shared" si="17"/>
        <v>19626.074074074073</v>
      </c>
      <c r="T58" s="163">
        <v>59</v>
      </c>
      <c r="U58" s="165" t="s">
        <v>121</v>
      </c>
      <c r="V58" s="121">
        <f>1014+725</f>
        <v>1739</v>
      </c>
      <c r="W58" s="121">
        <f>842+561</f>
        <v>1403</v>
      </c>
      <c r="X58" s="121">
        <f>430+346</f>
        <v>776</v>
      </c>
    </row>
    <row r="59" spans="1:24" s="51" customFormat="1" ht="15" x14ac:dyDescent="0.25">
      <c r="A59" s="101" t="s">
        <v>205</v>
      </c>
      <c r="B59" s="97">
        <v>45444</v>
      </c>
      <c r="C59" s="93">
        <v>2452</v>
      </c>
      <c r="D59" s="82">
        <v>30</v>
      </c>
      <c r="E59" s="115">
        <v>418.83</v>
      </c>
      <c r="F59" s="94">
        <f t="shared" si="9"/>
        <v>13.961</v>
      </c>
      <c r="G59" s="84">
        <f t="shared" si="10"/>
        <v>0.17081158238172919</v>
      </c>
      <c r="H59" s="85">
        <v>2311</v>
      </c>
      <c r="I59" s="86">
        <v>30</v>
      </c>
      <c r="J59" s="116">
        <v>388.53</v>
      </c>
      <c r="K59" s="87">
        <f t="shared" si="11"/>
        <v>12.950999999999999</v>
      </c>
      <c r="L59" s="88">
        <f t="shared" si="12"/>
        <v>0.16812202509736043</v>
      </c>
      <c r="M59" s="89"/>
      <c r="N59" s="90">
        <f t="shared" si="18"/>
        <v>4763</v>
      </c>
      <c r="O59" s="52">
        <f t="shared" si="19"/>
        <v>807.3599999999999</v>
      </c>
      <c r="P59" s="168"/>
      <c r="Q59" s="169">
        <f t="shared" ref="Q59:Q70" si="20">P59/N59</f>
        <v>0</v>
      </c>
      <c r="R59" s="173" t="e">
        <f t="shared" ref="R59:R83" si="21">O59/Q59</f>
        <v>#DIV/0!</v>
      </c>
      <c r="S59" s="168">
        <f t="shared" ref="S59:S70" si="22">P59/81</f>
        <v>0</v>
      </c>
      <c r="T59" s="163">
        <v>66</v>
      </c>
      <c r="U59" s="165" t="s">
        <v>113</v>
      </c>
      <c r="V59" s="121">
        <f>1135+1173</f>
        <v>2308</v>
      </c>
      <c r="W59" s="121">
        <f>988+895</f>
        <v>1883</v>
      </c>
      <c r="X59" s="121">
        <f>329+243</f>
        <v>572</v>
      </c>
    </row>
    <row r="60" spans="1:24" s="51" customFormat="1" ht="15" x14ac:dyDescent="0.25">
      <c r="A60" s="101" t="s">
        <v>207</v>
      </c>
      <c r="B60" s="97">
        <v>45474</v>
      </c>
      <c r="C60" s="93">
        <v>3225</v>
      </c>
      <c r="D60" s="82">
        <v>30</v>
      </c>
      <c r="E60" s="115">
        <v>537.1</v>
      </c>
      <c r="F60" s="94">
        <f t="shared" si="9"/>
        <v>17.903333333333332</v>
      </c>
      <c r="G60" s="84">
        <f t="shared" si="10"/>
        <v>0.16654263565891472</v>
      </c>
      <c r="H60" s="85">
        <v>4453</v>
      </c>
      <c r="I60" s="86">
        <v>30</v>
      </c>
      <c r="J60" s="116">
        <v>727.21</v>
      </c>
      <c r="K60" s="87">
        <f t="shared" si="11"/>
        <v>24.240333333333336</v>
      </c>
      <c r="L60" s="88">
        <f t="shared" si="12"/>
        <v>0.16330788232652146</v>
      </c>
      <c r="M60" s="96">
        <v>2</v>
      </c>
      <c r="N60" s="90">
        <f t="shared" si="18"/>
        <v>7678</v>
      </c>
      <c r="O60" s="52">
        <f t="shared" si="19"/>
        <v>1264.31</v>
      </c>
      <c r="P60" s="168"/>
      <c r="Q60" s="169">
        <f t="shared" si="20"/>
        <v>0</v>
      </c>
      <c r="R60" s="173" t="e">
        <f t="shared" si="21"/>
        <v>#DIV/0!</v>
      </c>
      <c r="S60" s="168">
        <f t="shared" si="22"/>
        <v>0</v>
      </c>
      <c r="T60" s="163">
        <v>74</v>
      </c>
      <c r="U60" s="165" t="s">
        <v>122</v>
      </c>
      <c r="V60" s="121">
        <f>1616+2324</f>
        <v>3940</v>
      </c>
      <c r="W60" s="121">
        <f>1220+1639</f>
        <v>2859</v>
      </c>
      <c r="X60" s="121">
        <f>389+490</f>
        <v>879</v>
      </c>
    </row>
    <row r="61" spans="1:24" s="51" customFormat="1" ht="15" x14ac:dyDescent="0.25">
      <c r="A61" s="101" t="s">
        <v>208</v>
      </c>
      <c r="B61" s="97">
        <v>45505</v>
      </c>
      <c r="C61" s="93">
        <v>3735</v>
      </c>
      <c r="D61" s="82">
        <v>30</v>
      </c>
      <c r="E61" s="115">
        <v>619.65</v>
      </c>
      <c r="F61" s="94">
        <f t="shared" si="9"/>
        <v>20.654999999999998</v>
      </c>
      <c r="G61" s="84">
        <f t="shared" si="10"/>
        <v>0.16590361445783131</v>
      </c>
      <c r="H61" s="85">
        <v>5729</v>
      </c>
      <c r="I61" s="86">
        <v>30</v>
      </c>
      <c r="J61" s="116">
        <v>933.94</v>
      </c>
      <c r="K61" s="87">
        <f t="shared" si="11"/>
        <v>31.131333333333334</v>
      </c>
      <c r="L61" s="88">
        <f t="shared" si="12"/>
        <v>0.16301972421015884</v>
      </c>
      <c r="M61" s="96">
        <v>15</v>
      </c>
      <c r="N61" s="90">
        <f t="shared" si="18"/>
        <v>9464</v>
      </c>
      <c r="O61" s="52">
        <f t="shared" si="19"/>
        <v>1553.5900000000001</v>
      </c>
      <c r="P61" s="168"/>
      <c r="Q61" s="169">
        <f t="shared" si="20"/>
        <v>0</v>
      </c>
      <c r="R61" s="173" t="e">
        <f t="shared" si="21"/>
        <v>#DIV/0!</v>
      </c>
      <c r="S61" s="168">
        <f t="shared" si="22"/>
        <v>0</v>
      </c>
      <c r="T61" s="163">
        <v>87</v>
      </c>
      <c r="U61" s="165" t="s">
        <v>123</v>
      </c>
      <c r="V61" s="121">
        <f>1804+2437</f>
        <v>4241</v>
      </c>
      <c r="W61" s="121">
        <f>1524+2595</f>
        <v>4119</v>
      </c>
      <c r="X61" s="121">
        <f>407+697</f>
        <v>1104</v>
      </c>
    </row>
    <row r="62" spans="1:24" s="51" customFormat="1" ht="15" x14ac:dyDescent="0.25">
      <c r="A62" s="101" t="s">
        <v>241</v>
      </c>
      <c r="B62" s="97">
        <v>45536</v>
      </c>
      <c r="C62" s="93">
        <v>3587</v>
      </c>
      <c r="D62" s="82">
        <v>31</v>
      </c>
      <c r="E62" s="115">
        <v>604.34</v>
      </c>
      <c r="F62" s="94">
        <f t="shared" si="9"/>
        <v>19.49483870967742</v>
      </c>
      <c r="G62" s="84">
        <f t="shared" si="10"/>
        <v>0.16848062447727907</v>
      </c>
      <c r="H62" s="85">
        <v>4654</v>
      </c>
      <c r="I62" s="86">
        <v>31</v>
      </c>
      <c r="J62" s="116">
        <v>789.53</v>
      </c>
      <c r="K62" s="87">
        <f t="shared" si="11"/>
        <v>25.468709677419355</v>
      </c>
      <c r="L62" s="88">
        <f t="shared" si="12"/>
        <v>0.169645466265578</v>
      </c>
      <c r="M62" s="96">
        <v>9</v>
      </c>
      <c r="N62" s="90">
        <f t="shared" si="18"/>
        <v>8241</v>
      </c>
      <c r="O62" s="52">
        <f t="shared" si="19"/>
        <v>1393.87</v>
      </c>
      <c r="P62" s="168"/>
      <c r="Q62" s="169">
        <f t="shared" si="20"/>
        <v>0</v>
      </c>
      <c r="R62" s="173" t="e">
        <f t="shared" si="21"/>
        <v>#DIV/0!</v>
      </c>
      <c r="S62" s="168">
        <f t="shared" si="22"/>
        <v>0</v>
      </c>
      <c r="T62" s="163">
        <v>80</v>
      </c>
      <c r="U62" s="165" t="s">
        <v>124</v>
      </c>
      <c r="V62" s="121">
        <f>1723+1957</f>
        <v>3680</v>
      </c>
      <c r="W62" s="121">
        <f>1474+2143</f>
        <v>3617</v>
      </c>
      <c r="X62" s="121">
        <f>390+554</f>
        <v>944</v>
      </c>
    </row>
    <row r="63" spans="1:24" s="51" customFormat="1" ht="15" x14ac:dyDescent="0.25">
      <c r="A63" s="101" t="s">
        <v>286</v>
      </c>
      <c r="B63" s="97">
        <v>45566</v>
      </c>
      <c r="C63" s="93"/>
      <c r="D63" s="82"/>
      <c r="E63" s="115"/>
      <c r="F63" s="94"/>
      <c r="G63" s="386"/>
      <c r="H63" s="85">
        <v>3373</v>
      </c>
      <c r="I63" s="387">
        <v>29</v>
      </c>
      <c r="J63" s="116">
        <v>570.91</v>
      </c>
      <c r="K63" s="388">
        <f t="shared" si="11"/>
        <v>19.686551724137932</v>
      </c>
      <c r="L63" s="88">
        <f t="shared" si="12"/>
        <v>0.16925882004150608</v>
      </c>
      <c r="M63" s="89"/>
      <c r="N63" s="90">
        <f t="shared" ref="N63" si="23">C63+H63</f>
        <v>3373</v>
      </c>
      <c r="O63" s="52">
        <f t="shared" ref="O63" si="24">E63+J63</f>
        <v>570.91</v>
      </c>
      <c r="P63" s="168"/>
      <c r="Q63" s="169"/>
      <c r="R63" s="173" t="e">
        <f t="shared" si="21"/>
        <v>#DIV/0!</v>
      </c>
      <c r="S63" s="168"/>
      <c r="T63" s="163"/>
      <c r="U63" s="165" t="s">
        <v>125</v>
      </c>
      <c r="V63" s="121">
        <v>1540</v>
      </c>
      <c r="W63" s="121">
        <v>1488</v>
      </c>
      <c r="X63" s="121">
        <v>345</v>
      </c>
    </row>
    <row r="64" spans="1:24" s="51" customFormat="1" ht="15" x14ac:dyDescent="0.25">
      <c r="A64" s="330" t="s">
        <v>252</v>
      </c>
      <c r="B64" s="97">
        <v>45566</v>
      </c>
      <c r="C64" s="93">
        <v>3337</v>
      </c>
      <c r="D64" s="82">
        <v>32</v>
      </c>
      <c r="E64" s="115">
        <v>564.9</v>
      </c>
      <c r="F64" s="94">
        <f t="shared" si="9"/>
        <v>17.653124999999999</v>
      </c>
      <c r="G64" s="386">
        <f t="shared" si="10"/>
        <v>0.16928378783338327</v>
      </c>
      <c r="H64" s="85"/>
      <c r="I64" s="387"/>
      <c r="J64" s="116"/>
      <c r="K64" s="388"/>
      <c r="L64" s="88"/>
      <c r="M64" s="89"/>
      <c r="N64" s="90">
        <f t="shared" si="18"/>
        <v>3337</v>
      </c>
      <c r="O64" s="52">
        <f t="shared" si="19"/>
        <v>564.9</v>
      </c>
      <c r="P64" s="168"/>
      <c r="Q64" s="169">
        <f t="shared" si="20"/>
        <v>0</v>
      </c>
      <c r="R64" s="173" t="e">
        <f t="shared" si="21"/>
        <v>#DIV/0!</v>
      </c>
      <c r="S64" s="168">
        <f t="shared" si="22"/>
        <v>0</v>
      </c>
      <c r="T64" s="106"/>
      <c r="U64" s="165" t="s">
        <v>125</v>
      </c>
      <c r="V64" s="121">
        <v>1608</v>
      </c>
      <c r="W64" s="121">
        <v>1345</v>
      </c>
      <c r="X64" s="121">
        <v>384</v>
      </c>
    </row>
    <row r="65" spans="1:24" s="51" customFormat="1" ht="15" x14ac:dyDescent="0.25">
      <c r="A65" s="330" t="s">
        <v>250</v>
      </c>
      <c r="B65" s="97">
        <v>45985</v>
      </c>
      <c r="C65" s="93"/>
      <c r="D65" s="82"/>
      <c r="E65" s="115"/>
      <c r="F65" s="94"/>
      <c r="G65" s="386"/>
      <c r="H65" s="85">
        <v>2032</v>
      </c>
      <c r="I65" s="387">
        <v>31</v>
      </c>
      <c r="J65" s="116">
        <v>346.27</v>
      </c>
      <c r="K65" s="388">
        <f t="shared" ref="K65" si="25">J65/I65</f>
        <v>11.17</v>
      </c>
      <c r="L65" s="88">
        <f t="shared" ref="L65" si="26">J65/H65</f>
        <v>0.17040846456692912</v>
      </c>
      <c r="M65" s="89"/>
      <c r="N65" s="90">
        <f t="shared" si="18"/>
        <v>2032</v>
      </c>
      <c r="O65" s="52">
        <f t="shared" si="19"/>
        <v>346.27</v>
      </c>
      <c r="P65" s="168"/>
      <c r="Q65" s="169">
        <f t="shared" si="20"/>
        <v>0</v>
      </c>
      <c r="R65" s="173" t="e">
        <f t="shared" si="21"/>
        <v>#DIV/0!</v>
      </c>
      <c r="S65" s="168"/>
      <c r="T65" s="106"/>
      <c r="U65" s="165" t="s">
        <v>115</v>
      </c>
      <c r="V65" s="121">
        <v>1050</v>
      </c>
      <c r="W65" s="121">
        <v>775</v>
      </c>
      <c r="X65" s="121">
        <v>207</v>
      </c>
    </row>
    <row r="66" spans="1:24" s="51" customFormat="1" ht="15" x14ac:dyDescent="0.25">
      <c r="A66" s="330" t="s">
        <v>284</v>
      </c>
      <c r="B66" s="97">
        <v>45597</v>
      </c>
      <c r="C66" s="93">
        <v>2302</v>
      </c>
      <c r="D66" s="82">
        <v>28</v>
      </c>
      <c r="E66" s="115">
        <v>399.39</v>
      </c>
      <c r="F66" s="94">
        <f t="shared" si="9"/>
        <v>14.26392857142857</v>
      </c>
      <c r="G66" s="386">
        <f t="shared" si="10"/>
        <v>0.17349695916594265</v>
      </c>
      <c r="H66" s="85"/>
      <c r="I66" s="387"/>
      <c r="J66" s="116"/>
      <c r="K66" s="388"/>
      <c r="L66" s="88"/>
      <c r="M66" s="89"/>
      <c r="N66" s="90">
        <f t="shared" ref="N66:N67" si="27">C66+H66</f>
        <v>2302</v>
      </c>
      <c r="O66" s="52">
        <f t="shared" ref="O66:O67" si="28">E66+J66</f>
        <v>399.39</v>
      </c>
      <c r="P66" s="168"/>
      <c r="Q66" s="169">
        <f t="shared" si="20"/>
        <v>0</v>
      </c>
      <c r="R66" s="173" t="e">
        <f t="shared" si="21"/>
        <v>#DIV/0!</v>
      </c>
      <c r="S66" s="168">
        <f t="shared" si="22"/>
        <v>0</v>
      </c>
      <c r="T66" s="106"/>
      <c r="U66" s="165" t="s">
        <v>115</v>
      </c>
      <c r="V66" s="121">
        <v>1033</v>
      </c>
      <c r="W66" s="121">
        <v>948</v>
      </c>
      <c r="X66" s="121">
        <v>321</v>
      </c>
    </row>
    <row r="67" spans="1:24" s="51" customFormat="1" ht="15" x14ac:dyDescent="0.25">
      <c r="A67" s="330" t="s">
        <v>251</v>
      </c>
      <c r="B67" s="97">
        <v>45627</v>
      </c>
      <c r="C67" s="93"/>
      <c r="D67" s="82"/>
      <c r="E67" s="115"/>
      <c r="F67" s="94"/>
      <c r="G67" s="386"/>
      <c r="H67" s="85">
        <v>1526</v>
      </c>
      <c r="I67" s="387">
        <v>31</v>
      </c>
      <c r="J67" s="116">
        <v>289.08</v>
      </c>
      <c r="K67" s="388">
        <f t="shared" ref="K67" si="29">J67/I67</f>
        <v>9.3251612903225798</v>
      </c>
      <c r="L67" s="88">
        <f t="shared" ref="L67" si="30">J67/H67</f>
        <v>0.1894364351245085</v>
      </c>
      <c r="M67" s="89"/>
      <c r="N67" s="90">
        <f t="shared" si="27"/>
        <v>1526</v>
      </c>
      <c r="O67" s="52">
        <f t="shared" si="28"/>
        <v>289.08</v>
      </c>
      <c r="P67" s="168"/>
      <c r="Q67" s="169"/>
      <c r="R67" s="173" t="e">
        <f t="shared" si="21"/>
        <v>#DIV/0!</v>
      </c>
      <c r="S67" s="168"/>
      <c r="T67" s="106"/>
      <c r="U67" s="165" t="s">
        <v>115</v>
      </c>
      <c r="V67" s="121">
        <v>629</v>
      </c>
      <c r="W67" s="121">
        <v>439</v>
      </c>
      <c r="X67" s="121">
        <v>458</v>
      </c>
    </row>
    <row r="68" spans="1:24" s="51" customFormat="1" ht="15" x14ac:dyDescent="0.25">
      <c r="A68" s="380" t="s">
        <v>285</v>
      </c>
      <c r="B68" s="381">
        <v>45627</v>
      </c>
      <c r="C68" s="93">
        <v>2404</v>
      </c>
      <c r="D68" s="82">
        <v>32</v>
      </c>
      <c r="E68" s="115">
        <v>428.73</v>
      </c>
      <c r="F68" s="94">
        <f t="shared" si="9"/>
        <v>13.397812500000001</v>
      </c>
      <c r="G68" s="386">
        <f t="shared" si="10"/>
        <v>0.17834026622296173</v>
      </c>
      <c r="H68" s="336"/>
      <c r="I68" s="389"/>
      <c r="J68" s="337"/>
      <c r="K68" s="390"/>
      <c r="L68" s="338"/>
      <c r="M68" s="89"/>
      <c r="N68" s="90">
        <f t="shared" si="18"/>
        <v>2404</v>
      </c>
      <c r="O68" s="52">
        <f t="shared" si="19"/>
        <v>428.73</v>
      </c>
      <c r="P68" s="168"/>
      <c r="Q68" s="169">
        <f t="shared" si="20"/>
        <v>0</v>
      </c>
      <c r="R68" s="173" t="e">
        <f t="shared" si="21"/>
        <v>#DIV/0!</v>
      </c>
      <c r="S68" s="168">
        <f t="shared" si="22"/>
        <v>0</v>
      </c>
      <c r="T68" s="106"/>
      <c r="U68" s="165" t="s">
        <v>116</v>
      </c>
      <c r="V68" s="121">
        <v>1030</v>
      </c>
      <c r="W68" s="121">
        <v>858</v>
      </c>
      <c r="X68" s="121">
        <v>516</v>
      </c>
    </row>
    <row r="69" spans="1:24" s="51" customFormat="1" ht="15" x14ac:dyDescent="0.25">
      <c r="A69" s="380" t="s">
        <v>296</v>
      </c>
      <c r="B69" s="381">
        <v>45658</v>
      </c>
      <c r="C69" s="93"/>
      <c r="D69" s="82"/>
      <c r="E69" s="115"/>
      <c r="F69" s="94"/>
      <c r="G69" s="386"/>
      <c r="H69" s="85">
        <v>2082</v>
      </c>
      <c r="I69" s="387">
        <v>33</v>
      </c>
      <c r="J69" s="116">
        <v>377.93</v>
      </c>
      <c r="K69" s="388">
        <f t="shared" ref="K69" si="31">J69/I69</f>
        <v>11.452424242424243</v>
      </c>
      <c r="L69" s="88">
        <f t="shared" ref="L69" si="32">J69/H69</f>
        <v>0.1815225744476465</v>
      </c>
      <c r="M69" s="89"/>
      <c r="N69" s="90">
        <f t="shared" si="18"/>
        <v>2082</v>
      </c>
      <c r="O69" s="52">
        <f t="shared" ref="O69:O71" si="33">E69+J69</f>
        <v>377.93</v>
      </c>
      <c r="P69" s="168"/>
      <c r="Q69" s="169"/>
      <c r="R69" s="173" t="e">
        <f>O69/Q69</f>
        <v>#DIV/0!</v>
      </c>
      <c r="S69" s="168"/>
      <c r="T69" s="106"/>
      <c r="U69" s="165" t="s">
        <v>117</v>
      </c>
      <c r="V69" s="121">
        <f>777.273+172.727</f>
        <v>950</v>
      </c>
      <c r="W69" s="121">
        <f>560.455+124.545</f>
        <v>685</v>
      </c>
      <c r="X69" s="121">
        <f>365.727+81.273</f>
        <v>447</v>
      </c>
    </row>
    <row r="70" spans="1:24" s="51" customFormat="1" ht="15" x14ac:dyDescent="0.25">
      <c r="A70" s="380" t="s">
        <v>287</v>
      </c>
      <c r="B70" s="381">
        <v>45658</v>
      </c>
      <c r="C70" s="93">
        <v>2613</v>
      </c>
      <c r="D70" s="82">
        <v>33</v>
      </c>
      <c r="E70" s="115">
        <v>465.24</v>
      </c>
      <c r="F70" s="94">
        <f>E70/D70</f>
        <v>14.098181818181818</v>
      </c>
      <c r="G70" s="386">
        <f>E70/C70</f>
        <v>0.17804822043628013</v>
      </c>
      <c r="H70" s="85"/>
      <c r="I70" s="387"/>
      <c r="J70" s="116"/>
      <c r="K70" s="388"/>
      <c r="L70" s="88"/>
      <c r="M70" s="89"/>
      <c r="N70" s="90">
        <f t="shared" si="18"/>
        <v>2613</v>
      </c>
      <c r="O70" s="52">
        <f t="shared" si="33"/>
        <v>465.24</v>
      </c>
      <c r="P70" s="168"/>
      <c r="Q70" s="169">
        <f t="shared" si="20"/>
        <v>0</v>
      </c>
      <c r="R70" s="173" t="e">
        <f t="shared" si="21"/>
        <v>#DIV/0!</v>
      </c>
      <c r="S70" s="168">
        <f t="shared" si="22"/>
        <v>0</v>
      </c>
      <c r="T70" s="106"/>
      <c r="U70" s="165" t="s">
        <v>117</v>
      </c>
      <c r="V70" s="121">
        <f>938.294+288.706</f>
        <v>1227</v>
      </c>
      <c r="W70" s="121">
        <f>683.647+210.353</f>
        <v>894</v>
      </c>
      <c r="X70" s="121">
        <f>376.235+115.765</f>
        <v>492</v>
      </c>
    </row>
    <row r="71" spans="1:24" s="51" customFormat="1" ht="15" x14ac:dyDescent="0.25">
      <c r="A71" s="380" t="s">
        <v>262</v>
      </c>
      <c r="B71" s="381">
        <v>45713</v>
      </c>
      <c r="C71" s="93"/>
      <c r="D71" s="82"/>
      <c r="E71" s="115"/>
      <c r="F71" s="94"/>
      <c r="G71" s="386"/>
      <c r="H71" s="85">
        <v>1616</v>
      </c>
      <c r="I71" s="387">
        <v>30</v>
      </c>
      <c r="J71" s="116">
        <v>343</v>
      </c>
      <c r="K71" s="388">
        <f t="shared" ref="K71" si="34">J71/I71</f>
        <v>11.433333333333334</v>
      </c>
      <c r="L71" s="88">
        <f t="shared" ref="L71" si="35">J71/H71</f>
        <v>0.21225247524752475</v>
      </c>
      <c r="M71" s="89"/>
      <c r="N71" s="90">
        <f t="shared" ref="N71" si="36">C71+H71</f>
        <v>1616</v>
      </c>
      <c r="O71" s="52">
        <f t="shared" si="33"/>
        <v>343</v>
      </c>
      <c r="P71" s="334"/>
      <c r="Q71" s="169"/>
      <c r="R71" s="173" t="e">
        <f t="shared" si="21"/>
        <v>#DIV/0!</v>
      </c>
      <c r="S71" s="334"/>
      <c r="T71" s="106"/>
      <c r="U71" s="165" t="s">
        <v>118</v>
      </c>
      <c r="V71" s="331">
        <v>644</v>
      </c>
      <c r="W71" s="331">
        <v>587</v>
      </c>
      <c r="X71" s="331">
        <v>385</v>
      </c>
    </row>
    <row r="72" spans="1:24" s="51" customFormat="1" ht="15" x14ac:dyDescent="0.25">
      <c r="A72" s="101" t="s">
        <v>290</v>
      </c>
      <c r="B72" s="97">
        <v>45713</v>
      </c>
      <c r="C72" s="93">
        <v>2026</v>
      </c>
      <c r="D72" s="332">
        <v>28</v>
      </c>
      <c r="E72" s="115">
        <v>467.81</v>
      </c>
      <c r="F72" s="94">
        <f>E72/D72</f>
        <v>16.7075</v>
      </c>
      <c r="G72" s="386">
        <f>E72/C72</f>
        <v>0.23090325765054295</v>
      </c>
      <c r="H72" s="85"/>
      <c r="I72" s="387"/>
      <c r="J72" s="116"/>
      <c r="K72" s="388"/>
      <c r="L72" s="88"/>
      <c r="M72" s="89"/>
      <c r="N72" s="90">
        <f t="shared" si="18"/>
        <v>2026</v>
      </c>
      <c r="O72" s="333">
        <f t="shared" si="19"/>
        <v>467.81</v>
      </c>
      <c r="P72" s="331"/>
      <c r="Q72" s="91"/>
      <c r="R72" s="335" t="e">
        <f t="shared" si="21"/>
        <v>#DIV/0!</v>
      </c>
      <c r="S72" s="333"/>
      <c r="T72" s="106"/>
      <c r="U72" s="165" t="s">
        <v>118</v>
      </c>
      <c r="V72" s="331">
        <v>937</v>
      </c>
      <c r="W72" s="331">
        <v>801</v>
      </c>
      <c r="X72" s="331">
        <v>463</v>
      </c>
    </row>
    <row r="73" spans="1:24" s="51" customFormat="1" ht="15" x14ac:dyDescent="0.25">
      <c r="A73" s="101" t="s">
        <v>291</v>
      </c>
      <c r="B73" s="97">
        <v>45741</v>
      </c>
      <c r="C73" s="93">
        <v>2026</v>
      </c>
      <c r="D73" s="82">
        <v>27</v>
      </c>
      <c r="E73" s="115">
        <v>394.19</v>
      </c>
      <c r="F73" s="94">
        <f>E73/D73</f>
        <v>14.59962962962963</v>
      </c>
      <c r="G73" s="386">
        <f>E73/C73</f>
        <v>0.19456564659427444</v>
      </c>
      <c r="H73" s="85"/>
      <c r="I73" s="387"/>
      <c r="J73" s="116"/>
      <c r="K73" s="388"/>
      <c r="L73" s="88"/>
      <c r="M73" s="89"/>
      <c r="N73" s="90">
        <f t="shared" si="18"/>
        <v>2026</v>
      </c>
      <c r="O73" s="52">
        <f t="shared" si="19"/>
        <v>394.19</v>
      </c>
      <c r="P73" s="121"/>
      <c r="Q73" s="91"/>
      <c r="R73" s="173" t="e">
        <f t="shared" si="21"/>
        <v>#DIV/0!</v>
      </c>
      <c r="S73" s="52"/>
      <c r="T73" s="106"/>
      <c r="U73" s="120"/>
      <c r="V73" s="121">
        <v>868</v>
      </c>
      <c r="W73" s="121">
        <v>736</v>
      </c>
      <c r="X73" s="121">
        <v>422</v>
      </c>
    </row>
    <row r="74" spans="1:24" s="51" customFormat="1" ht="15" x14ac:dyDescent="0.25">
      <c r="A74" s="101" t="s">
        <v>269</v>
      </c>
      <c r="B74" s="97">
        <v>45741</v>
      </c>
      <c r="C74" s="93"/>
      <c r="D74" s="82"/>
      <c r="E74" s="115"/>
      <c r="F74" s="94"/>
      <c r="G74" s="386"/>
      <c r="H74" s="85">
        <v>872</v>
      </c>
      <c r="I74" s="387">
        <v>29</v>
      </c>
      <c r="J74" s="116">
        <v>192.3</v>
      </c>
      <c r="K74" s="388">
        <f t="shared" ref="K74" si="37">J74/I74</f>
        <v>6.6310344827586212</v>
      </c>
      <c r="L74" s="88">
        <f t="shared" ref="L74" si="38">J74/H74</f>
        <v>0.22052752293577982</v>
      </c>
      <c r="M74" s="89"/>
      <c r="N74" s="90">
        <f t="shared" si="18"/>
        <v>872</v>
      </c>
      <c r="O74" s="52">
        <f t="shared" si="19"/>
        <v>192.3</v>
      </c>
      <c r="P74" s="121"/>
      <c r="Q74" s="91"/>
      <c r="R74" s="173" t="e">
        <f t="shared" si="21"/>
        <v>#DIV/0!</v>
      </c>
      <c r="S74" s="52"/>
      <c r="T74" s="106"/>
      <c r="U74" s="120"/>
      <c r="V74" s="121">
        <f>315</f>
        <v>315</v>
      </c>
      <c r="W74" s="121">
        <f>270</f>
        <v>270</v>
      </c>
      <c r="X74" s="121">
        <f>287</f>
        <v>287</v>
      </c>
    </row>
    <row r="75" spans="1:24" s="51" customFormat="1" ht="15" x14ac:dyDescent="0.25">
      <c r="A75" s="101" t="s">
        <v>292</v>
      </c>
      <c r="B75" s="97">
        <v>45748</v>
      </c>
      <c r="C75" s="93">
        <v>2284</v>
      </c>
      <c r="D75" s="82">
        <v>31</v>
      </c>
      <c r="E75" s="115">
        <v>445.42</v>
      </c>
      <c r="F75" s="94">
        <f>E75/D75</f>
        <v>14.368387096774194</v>
      </c>
      <c r="G75" s="386">
        <f>E75/C75</f>
        <v>0.19501751313485113</v>
      </c>
      <c r="H75" s="85"/>
      <c r="I75" s="387"/>
      <c r="J75" s="116"/>
      <c r="K75" s="388"/>
      <c r="L75" s="88"/>
      <c r="M75" s="89"/>
      <c r="N75" s="90">
        <f t="shared" si="18"/>
        <v>2284</v>
      </c>
      <c r="O75" s="52">
        <f t="shared" si="19"/>
        <v>445.42</v>
      </c>
      <c r="P75" s="121"/>
      <c r="Q75" s="91"/>
      <c r="R75" s="173" t="e">
        <f t="shared" si="21"/>
        <v>#DIV/0!</v>
      </c>
      <c r="S75" s="52"/>
      <c r="T75" s="106"/>
      <c r="U75" s="120"/>
      <c r="V75" s="121">
        <v>945</v>
      </c>
      <c r="W75" s="121">
        <v>838</v>
      </c>
      <c r="X75" s="121">
        <v>501</v>
      </c>
    </row>
    <row r="76" spans="1:24" s="51" customFormat="1" ht="15" x14ac:dyDescent="0.25">
      <c r="A76" s="101" t="s">
        <v>270</v>
      </c>
      <c r="B76" s="97">
        <v>45748</v>
      </c>
      <c r="C76" s="93"/>
      <c r="D76" s="82"/>
      <c r="E76" s="115"/>
      <c r="F76" s="94"/>
      <c r="G76" s="386"/>
      <c r="H76" s="85">
        <v>715</v>
      </c>
      <c r="I76" s="387">
        <v>29</v>
      </c>
      <c r="J76" s="116">
        <v>159.72999999999999</v>
      </c>
      <c r="K76" s="388">
        <f t="shared" ref="K76" si="39">J76/I76</f>
        <v>5.5079310344827581</v>
      </c>
      <c r="L76" s="88">
        <f t="shared" ref="L76" si="40">J76/H76</f>
        <v>0.22339860139860138</v>
      </c>
      <c r="M76" s="89"/>
      <c r="N76" s="90">
        <f t="shared" ref="N76" si="41">C76+H76</f>
        <v>715</v>
      </c>
      <c r="O76" s="52">
        <f t="shared" ref="O76" si="42">E76+J76</f>
        <v>159.72999999999999</v>
      </c>
      <c r="P76" s="121"/>
      <c r="Q76" s="91"/>
      <c r="R76" s="173" t="e">
        <f t="shared" si="21"/>
        <v>#DIV/0!</v>
      </c>
      <c r="S76" s="52"/>
      <c r="T76" s="106"/>
      <c r="U76" s="120"/>
      <c r="V76" s="121">
        <f>238</f>
        <v>238</v>
      </c>
      <c r="W76" s="121">
        <f>295</f>
        <v>295</v>
      </c>
      <c r="X76" s="121">
        <f>182</f>
        <v>182</v>
      </c>
    </row>
    <row r="77" spans="1:24" s="51" customFormat="1" ht="15" x14ac:dyDescent="0.25">
      <c r="A77" s="101" t="s">
        <v>293</v>
      </c>
      <c r="B77" s="97">
        <v>45778</v>
      </c>
      <c r="C77" s="93">
        <v>2491</v>
      </c>
      <c r="D77" s="82">
        <v>31</v>
      </c>
      <c r="E77" s="115">
        <v>474.05</v>
      </c>
      <c r="F77" s="94">
        <f>E77/D77</f>
        <v>15.291935483870969</v>
      </c>
      <c r="G77" s="84">
        <f>E77/C77</f>
        <v>0.19030509835407466</v>
      </c>
      <c r="H77" s="85"/>
      <c r="I77" s="86"/>
      <c r="J77" s="116"/>
      <c r="K77" s="87"/>
      <c r="L77" s="88"/>
      <c r="M77" s="89"/>
      <c r="N77" s="90">
        <f t="shared" si="18"/>
        <v>2491</v>
      </c>
      <c r="O77" s="52">
        <f t="shared" si="19"/>
        <v>474.05</v>
      </c>
      <c r="P77" s="121"/>
      <c r="Q77" s="91"/>
      <c r="R77" s="173" t="e">
        <f t="shared" si="21"/>
        <v>#DIV/0!</v>
      </c>
      <c r="S77" s="52"/>
      <c r="T77" s="106"/>
      <c r="U77" s="120"/>
      <c r="V77" s="121">
        <v>1110</v>
      </c>
      <c r="W77" s="121">
        <v>909</v>
      </c>
      <c r="X77" s="121">
        <v>472</v>
      </c>
    </row>
    <row r="78" spans="1:24" s="51" customFormat="1" ht="15" x14ac:dyDescent="0.25">
      <c r="A78" s="101" t="s">
        <v>298</v>
      </c>
      <c r="B78" s="97">
        <v>45778</v>
      </c>
      <c r="C78" s="93"/>
      <c r="D78" s="82"/>
      <c r="E78" s="115"/>
      <c r="F78" s="94"/>
      <c r="G78" s="84"/>
      <c r="H78" s="85">
        <v>1586</v>
      </c>
      <c r="I78" s="86">
        <v>33</v>
      </c>
      <c r="J78" s="116">
        <v>312.66000000000003</v>
      </c>
      <c r="K78" s="87">
        <f t="shared" ref="K78" si="43">J78/I78</f>
        <v>9.4745454545454546</v>
      </c>
      <c r="L78" s="88">
        <f t="shared" ref="L78" si="44">J78/H78</f>
        <v>0.19713745271122321</v>
      </c>
      <c r="M78" s="89"/>
      <c r="N78" s="90">
        <f t="shared" ref="N78" si="45">C78+H78</f>
        <v>1586</v>
      </c>
      <c r="O78" s="52">
        <f t="shared" ref="O78" si="46">E78+J78</f>
        <v>312.66000000000003</v>
      </c>
      <c r="P78" s="121"/>
      <c r="Q78" s="91"/>
      <c r="R78" s="173" t="e">
        <f t="shared" si="21"/>
        <v>#DIV/0!</v>
      </c>
      <c r="S78" s="52"/>
      <c r="T78" s="106"/>
      <c r="U78" s="120"/>
      <c r="V78" s="121">
        <f>654</f>
        <v>654</v>
      </c>
      <c r="W78" s="121">
        <f>629</f>
        <v>629</v>
      </c>
      <c r="X78" s="121">
        <v>303</v>
      </c>
    </row>
    <row r="79" spans="1:24" s="51" customFormat="1" ht="15" x14ac:dyDescent="0.25">
      <c r="A79" s="101" t="s">
        <v>294</v>
      </c>
      <c r="B79" s="97">
        <v>45809</v>
      </c>
      <c r="C79" s="93">
        <v>2999</v>
      </c>
      <c r="D79" s="82">
        <v>30</v>
      </c>
      <c r="E79" s="115">
        <v>550.19000000000005</v>
      </c>
      <c r="F79" s="94">
        <f>E79/D79</f>
        <v>18.33966666666667</v>
      </c>
      <c r="G79" s="84">
        <f>E79/C79</f>
        <v>0.18345781927309104</v>
      </c>
      <c r="H79" s="85"/>
      <c r="I79" s="86"/>
      <c r="J79" s="116"/>
      <c r="K79" s="87"/>
      <c r="L79" s="88"/>
      <c r="M79" s="89"/>
      <c r="N79" s="90">
        <f t="shared" si="18"/>
        <v>2999</v>
      </c>
      <c r="O79" s="52">
        <f t="shared" si="19"/>
        <v>550.19000000000005</v>
      </c>
      <c r="P79" s="121"/>
      <c r="Q79" s="91"/>
      <c r="R79" s="173" t="e">
        <f t="shared" si="21"/>
        <v>#DIV/0!</v>
      </c>
      <c r="S79" s="52"/>
      <c r="T79" s="106"/>
      <c r="U79" s="120"/>
      <c r="V79" s="121">
        <f>1416</f>
        <v>1416</v>
      </c>
      <c r="W79" s="121">
        <v>1211</v>
      </c>
      <c r="X79" s="121">
        <v>372</v>
      </c>
    </row>
    <row r="80" spans="1:24" s="51" customFormat="1" ht="15" x14ac:dyDescent="0.25">
      <c r="A80" s="101" t="s">
        <v>297</v>
      </c>
      <c r="B80" s="97">
        <v>45809</v>
      </c>
      <c r="C80" s="93"/>
      <c r="D80" s="82"/>
      <c r="E80" s="115"/>
      <c r="F80" s="94"/>
      <c r="G80" s="84"/>
      <c r="H80" s="85">
        <v>2375</v>
      </c>
      <c r="I80" s="86">
        <v>28</v>
      </c>
      <c r="J80" s="116">
        <v>435.73</v>
      </c>
      <c r="K80" s="87">
        <f t="shared" ref="K80:K82" si="47">J80/I80</f>
        <v>15.561785714285715</v>
      </c>
      <c r="L80" s="88">
        <f t="shared" ref="L80:L82" si="48">J80/H80</f>
        <v>0.18346526315789474</v>
      </c>
      <c r="M80" s="89"/>
      <c r="N80" s="90">
        <f t="shared" si="18"/>
        <v>2375</v>
      </c>
      <c r="O80" s="52">
        <f t="shared" si="19"/>
        <v>435.73</v>
      </c>
      <c r="P80" s="121"/>
      <c r="Q80" s="91"/>
      <c r="R80" s="173" t="e">
        <f t="shared" si="21"/>
        <v>#DIV/0!</v>
      </c>
      <c r="S80" s="52"/>
      <c r="T80" s="106"/>
      <c r="U80" s="120"/>
      <c r="V80" s="121">
        <f>1172</f>
        <v>1172</v>
      </c>
      <c r="W80" s="121">
        <f>960</f>
        <v>960</v>
      </c>
      <c r="X80" s="121">
        <f>243</f>
        <v>243</v>
      </c>
    </row>
    <row r="81" spans="1:24" s="51" customFormat="1" ht="15" x14ac:dyDescent="0.25">
      <c r="A81" s="101" t="s">
        <v>295</v>
      </c>
      <c r="B81" s="97">
        <v>45839</v>
      </c>
      <c r="C81" s="93">
        <v>3893</v>
      </c>
      <c r="D81" s="82">
        <v>28</v>
      </c>
      <c r="E81" s="115">
        <v>702.61</v>
      </c>
      <c r="F81" s="94">
        <f>E81/D81</f>
        <v>25.093214285714286</v>
      </c>
      <c r="G81" s="84">
        <f>E81/C81</f>
        <v>0.18048034934497817</v>
      </c>
      <c r="H81" s="85">
        <v>4114</v>
      </c>
      <c r="I81" s="86">
        <v>28</v>
      </c>
      <c r="J81" s="116">
        <v>743.72</v>
      </c>
      <c r="K81" s="87">
        <f t="shared" si="47"/>
        <v>26.561428571428571</v>
      </c>
      <c r="L81" s="88">
        <f t="shared" si="48"/>
        <v>0.18077783179387458</v>
      </c>
      <c r="M81" s="89"/>
      <c r="N81" s="90">
        <f t="shared" si="18"/>
        <v>8007</v>
      </c>
      <c r="O81" s="52">
        <f t="shared" si="19"/>
        <v>1446.33</v>
      </c>
      <c r="P81" s="121"/>
      <c r="Q81" s="91"/>
      <c r="R81" s="173" t="e">
        <f t="shared" si="21"/>
        <v>#DIV/0!</v>
      </c>
      <c r="S81" s="52"/>
      <c r="T81" s="106"/>
      <c r="U81" s="120"/>
      <c r="V81" s="121">
        <f>1795+1860</f>
        <v>3655</v>
      </c>
      <c r="W81" s="121">
        <f>1666+1776</f>
        <v>3442</v>
      </c>
      <c r="X81" s="121">
        <f>432+478</f>
        <v>910</v>
      </c>
    </row>
    <row r="82" spans="1:24" s="51" customFormat="1" ht="15" x14ac:dyDescent="0.25">
      <c r="A82" s="101" t="s">
        <v>289</v>
      </c>
      <c r="B82" s="97">
        <v>45870</v>
      </c>
      <c r="C82" s="93">
        <v>4878</v>
      </c>
      <c r="D82" s="82">
        <v>32</v>
      </c>
      <c r="E82" s="115">
        <v>874.4</v>
      </c>
      <c r="F82" s="94">
        <f>E82/D82</f>
        <v>27.324999999999999</v>
      </c>
      <c r="G82" s="84">
        <f>E82/C82</f>
        <v>0.17925379253792537</v>
      </c>
      <c r="H82" s="85">
        <v>5080</v>
      </c>
      <c r="I82" s="86">
        <v>32</v>
      </c>
      <c r="J82" s="116">
        <v>905.72500000000002</v>
      </c>
      <c r="K82" s="87">
        <f t="shared" si="47"/>
        <v>28.303906250000001</v>
      </c>
      <c r="L82" s="88">
        <f t="shared" si="48"/>
        <v>0.17829232283464566</v>
      </c>
      <c r="M82" s="89"/>
      <c r="N82" s="90">
        <f t="shared" si="18"/>
        <v>9958</v>
      </c>
      <c r="O82" s="52">
        <f t="shared" si="19"/>
        <v>1780.125</v>
      </c>
      <c r="P82" s="121"/>
      <c r="Q82" s="91"/>
      <c r="R82" s="173" t="e">
        <f t="shared" si="21"/>
        <v>#DIV/0!</v>
      </c>
      <c r="S82" s="52"/>
      <c r="T82" s="106"/>
      <c r="U82" s="120"/>
      <c r="V82" s="331">
        <v>2293</v>
      </c>
      <c r="W82" s="331">
        <v>2035</v>
      </c>
      <c r="X82" s="331">
        <v>550</v>
      </c>
    </row>
    <row r="83" spans="1:24" s="51" customFormat="1" ht="15" x14ac:dyDescent="0.25">
      <c r="A83" s="101" t="s">
        <v>288</v>
      </c>
      <c r="B83" s="97">
        <v>45901</v>
      </c>
      <c r="C83" s="93">
        <v>3624</v>
      </c>
      <c r="D83" s="82">
        <v>30</v>
      </c>
      <c r="E83" s="115">
        <v>664.98</v>
      </c>
      <c r="F83" s="94">
        <f>E83/D83</f>
        <v>22.166</v>
      </c>
      <c r="G83" s="84">
        <f>E83/C83</f>
        <v>0.18349337748344371</v>
      </c>
      <c r="H83" s="85">
        <v>3992</v>
      </c>
      <c r="I83" s="86">
        <v>30</v>
      </c>
      <c r="J83" s="116">
        <v>726.72</v>
      </c>
      <c r="K83" s="87">
        <f t="shared" ref="K83:K84" si="49">J83/I83</f>
        <v>24.224</v>
      </c>
      <c r="L83" s="88">
        <f t="shared" ref="L83:L84" si="50">J83/H83</f>
        <v>0.1820440881763527</v>
      </c>
      <c r="M83" s="89"/>
      <c r="N83" s="90">
        <f t="shared" si="18"/>
        <v>7616</v>
      </c>
      <c r="O83" s="52">
        <f t="shared" si="19"/>
        <v>1391.7</v>
      </c>
      <c r="P83" s="121"/>
      <c r="Q83" s="91"/>
      <c r="R83" s="173" t="e">
        <f t="shared" si="21"/>
        <v>#DIV/0!</v>
      </c>
      <c r="S83" s="52"/>
      <c r="T83" s="106"/>
      <c r="U83" s="120"/>
      <c r="V83" s="121">
        <f>1628+1858</f>
        <v>3486</v>
      </c>
      <c r="W83" s="121">
        <f>1555+1665</f>
        <v>3220</v>
      </c>
      <c r="X83" s="121">
        <f>441+469</f>
        <v>910</v>
      </c>
    </row>
    <row r="84" spans="1:24" s="51" customFormat="1" ht="15" x14ac:dyDescent="0.25">
      <c r="A84" s="101" t="s">
        <v>305</v>
      </c>
      <c r="B84" s="97">
        <v>45931</v>
      </c>
      <c r="C84" s="93">
        <v>2929</v>
      </c>
      <c r="D84" s="82">
        <v>30</v>
      </c>
      <c r="E84" s="115">
        <v>545.39</v>
      </c>
      <c r="F84" s="94">
        <f>E84/D84</f>
        <v>18.179666666666666</v>
      </c>
      <c r="G84" s="84">
        <f>E84/C84</f>
        <v>0.18620348241720724</v>
      </c>
      <c r="H84" s="85">
        <v>2871</v>
      </c>
      <c r="I84" s="86">
        <v>29</v>
      </c>
      <c r="J84" s="116">
        <v>528.47</v>
      </c>
      <c r="K84" s="87">
        <f t="shared" si="49"/>
        <v>18.223103448275864</v>
      </c>
      <c r="L84" s="88">
        <f t="shared" si="50"/>
        <v>0.1840717520027865</v>
      </c>
      <c r="M84" s="89"/>
      <c r="N84" s="90">
        <f t="shared" si="18"/>
        <v>5800</v>
      </c>
      <c r="O84" s="52">
        <f t="shared" si="19"/>
        <v>1073.8600000000001</v>
      </c>
      <c r="P84" s="121"/>
      <c r="Q84" s="91"/>
      <c r="R84" s="173"/>
      <c r="S84" s="52"/>
      <c r="T84" s="106"/>
      <c r="U84" s="120"/>
      <c r="V84" s="121">
        <f>1333+1268</f>
        <v>2601</v>
      </c>
      <c r="W84" s="121">
        <f>1219+1280</f>
        <v>2499</v>
      </c>
      <c r="X84" s="121">
        <f>319+381</f>
        <v>700</v>
      </c>
    </row>
    <row r="85" spans="1:24" s="51" customFormat="1" ht="15" x14ac:dyDescent="0.25">
      <c r="A85" s="101"/>
      <c r="B85" s="97"/>
      <c r="C85" s="93"/>
      <c r="D85" s="82"/>
      <c r="E85" s="115"/>
      <c r="F85" s="94"/>
      <c r="G85" s="84"/>
      <c r="H85" s="85"/>
      <c r="I85" s="86"/>
      <c r="J85" s="116"/>
      <c r="K85" s="87"/>
      <c r="L85" s="88"/>
      <c r="M85" s="89"/>
      <c r="N85" s="90"/>
      <c r="O85" s="52"/>
      <c r="P85" s="121"/>
      <c r="Q85" s="91"/>
      <c r="R85" s="173"/>
      <c r="S85" s="52"/>
      <c r="T85" s="106"/>
      <c r="U85" s="120"/>
      <c r="V85" s="121"/>
      <c r="W85" s="121"/>
      <c r="X85" s="121"/>
    </row>
    <row r="86" spans="1:24" s="51" customFormat="1" ht="15" x14ac:dyDescent="0.25">
      <c r="A86" s="101"/>
      <c r="B86" s="97"/>
      <c r="C86" s="93"/>
      <c r="D86" s="82"/>
      <c r="E86" s="115"/>
      <c r="F86" s="94"/>
      <c r="G86" s="84"/>
      <c r="H86" s="85"/>
      <c r="I86" s="86"/>
      <c r="J86" s="116"/>
      <c r="K86" s="87"/>
      <c r="L86" s="88"/>
      <c r="M86" s="89"/>
      <c r="N86" s="90"/>
      <c r="O86" s="52"/>
      <c r="P86" s="121"/>
      <c r="Q86" s="91"/>
      <c r="R86" s="173"/>
      <c r="S86" s="52"/>
      <c r="T86" s="106"/>
      <c r="U86" s="120"/>
      <c r="V86" s="121"/>
      <c r="W86" s="121"/>
      <c r="X86" s="121"/>
    </row>
    <row r="87" spans="1:24" s="51" customFormat="1" ht="15" x14ac:dyDescent="0.25">
      <c r="A87" s="101"/>
      <c r="B87" s="97"/>
      <c r="C87" s="93"/>
      <c r="D87" s="82"/>
      <c r="E87" s="115"/>
      <c r="F87" s="94"/>
      <c r="G87" s="84"/>
      <c r="H87" s="85"/>
      <c r="I87" s="86"/>
      <c r="J87" s="116"/>
      <c r="K87" s="87"/>
      <c r="L87" s="88"/>
      <c r="M87" s="89"/>
      <c r="N87" s="90"/>
      <c r="O87" s="52"/>
      <c r="P87" s="121"/>
      <c r="Q87" s="91"/>
      <c r="R87" s="173"/>
      <c r="S87" s="377"/>
      <c r="T87" s="106"/>
      <c r="U87" s="120"/>
      <c r="V87" s="121"/>
      <c r="W87" s="121"/>
      <c r="X87" s="121"/>
    </row>
    <row r="88" spans="1:24" s="51" customFormat="1" ht="15" x14ac:dyDescent="0.25">
      <c r="A88" s="101"/>
      <c r="B88" s="97"/>
      <c r="C88" s="93"/>
      <c r="D88" s="82"/>
      <c r="E88" s="115"/>
      <c r="F88" s="94"/>
      <c r="G88" s="84"/>
      <c r="H88" s="85"/>
      <c r="I88" s="86"/>
      <c r="J88" s="116"/>
      <c r="K88" s="87"/>
      <c r="L88" s="88"/>
      <c r="M88" s="89"/>
      <c r="N88" s="90"/>
      <c r="O88" s="52"/>
      <c r="P88" s="121"/>
      <c r="Q88" s="91"/>
      <c r="R88" s="173"/>
      <c r="S88" s="52"/>
      <c r="T88" s="106"/>
      <c r="U88" s="120"/>
      <c r="V88" s="121"/>
      <c r="W88" s="121"/>
      <c r="X88" s="121"/>
    </row>
    <row r="89" spans="1:24" s="51" customFormat="1" ht="15" x14ac:dyDescent="0.25">
      <c r="A89" s="101"/>
      <c r="B89" s="97"/>
      <c r="C89" s="93"/>
      <c r="D89" s="82"/>
      <c r="E89" s="115"/>
      <c r="F89" s="94"/>
      <c r="G89" s="84"/>
      <c r="H89" s="85"/>
      <c r="I89" s="86"/>
      <c r="J89" s="116"/>
      <c r="K89" s="87"/>
      <c r="L89" s="88"/>
      <c r="M89" s="89"/>
      <c r="N89" s="90"/>
      <c r="O89" s="91"/>
      <c r="P89" s="121"/>
      <c r="Q89" s="91"/>
      <c r="R89" s="173"/>
      <c r="S89" s="52"/>
      <c r="T89" s="106"/>
      <c r="U89" s="120"/>
      <c r="V89" s="121"/>
      <c r="W89" s="121"/>
      <c r="X89" s="121"/>
    </row>
    <row r="90" spans="1:24" s="51" customFormat="1" ht="15" x14ac:dyDescent="0.25">
      <c r="A90" s="101"/>
      <c r="B90" s="97"/>
      <c r="C90" s="93"/>
      <c r="D90" s="82"/>
      <c r="E90" s="115"/>
      <c r="F90" s="94"/>
      <c r="G90" s="84"/>
      <c r="H90" s="85"/>
      <c r="I90" s="86"/>
      <c r="J90" s="116"/>
      <c r="K90" s="87"/>
      <c r="L90" s="88"/>
      <c r="M90" s="89"/>
      <c r="N90" s="90"/>
      <c r="O90" s="91"/>
      <c r="P90" s="121"/>
      <c r="Q90" s="91"/>
      <c r="R90" s="171"/>
      <c r="S90" s="52"/>
      <c r="T90" s="106"/>
      <c r="U90" s="120"/>
    </row>
    <row r="91" spans="1:24" s="51" customFormat="1" ht="91.8" customHeight="1" x14ac:dyDescent="0.25">
      <c r="A91" s="364" t="s">
        <v>254</v>
      </c>
      <c r="B91" s="364"/>
      <c r="C91" s="364"/>
      <c r="D91" s="82"/>
      <c r="E91" s="115"/>
      <c r="F91" s="94"/>
      <c r="G91" s="84"/>
      <c r="H91" s="85"/>
      <c r="I91" s="86"/>
      <c r="J91" s="116"/>
      <c r="K91" s="87"/>
      <c r="L91" s="88"/>
      <c r="N91" s="90"/>
      <c r="O91" s="91"/>
      <c r="P91" s="121"/>
      <c r="Q91" s="91"/>
      <c r="R91" s="171"/>
      <c r="S91" s="52"/>
      <c r="T91" s="106"/>
      <c r="U91" s="106"/>
    </row>
    <row r="92" spans="1:24" s="51" customFormat="1" ht="15" x14ac:dyDescent="0.25">
      <c r="A92" s="101"/>
      <c r="B92" s="97"/>
      <c r="C92" s="93"/>
      <c r="D92" s="82"/>
      <c r="E92" s="115"/>
      <c r="F92" s="94"/>
      <c r="G92" s="84"/>
      <c r="H92" s="85"/>
      <c r="I92" s="86"/>
      <c r="J92" s="116"/>
      <c r="K92" s="87"/>
      <c r="L92" s="88"/>
      <c r="N92" s="90"/>
      <c r="O92" s="91"/>
      <c r="P92" s="121"/>
      <c r="Q92" s="91" t="s">
        <v>126</v>
      </c>
      <c r="R92" s="171"/>
      <c r="S92" s="52"/>
      <c r="T92" s="106"/>
      <c r="U92" s="106"/>
    </row>
    <row r="93" spans="1:24" s="51" customFormat="1" ht="30" customHeight="1" x14ac:dyDescent="0.25">
      <c r="A93" s="365" t="s">
        <v>253</v>
      </c>
      <c r="B93" s="365"/>
      <c r="C93" s="365"/>
      <c r="D93" s="82"/>
      <c r="E93" s="115"/>
      <c r="F93" s="94"/>
      <c r="G93" s="84"/>
      <c r="H93" s="85"/>
      <c r="I93" s="86"/>
      <c r="J93" s="116"/>
      <c r="K93" s="87"/>
      <c r="L93" s="88"/>
      <c r="N93" s="90"/>
      <c r="O93" s="91"/>
      <c r="P93" s="121"/>
      <c r="Q93" s="91"/>
      <c r="R93" s="171"/>
      <c r="S93" s="52"/>
      <c r="T93" s="106"/>
      <c r="U93" s="106"/>
    </row>
    <row r="94" spans="1:24" s="51" customFormat="1" ht="15" x14ac:dyDescent="0.25">
      <c r="A94" s="101"/>
      <c r="B94" s="97"/>
      <c r="C94" s="93"/>
      <c r="D94" s="82"/>
      <c r="E94" s="115"/>
      <c r="F94" s="94"/>
      <c r="G94" s="84"/>
      <c r="H94" s="85"/>
      <c r="I94" s="86"/>
      <c r="J94" s="116"/>
      <c r="K94" s="87"/>
      <c r="L94" s="88"/>
      <c r="N94" s="90"/>
      <c r="O94" s="91"/>
      <c r="P94" s="121"/>
      <c r="Q94" s="91"/>
      <c r="R94" s="171"/>
      <c r="S94" s="52"/>
      <c r="T94" s="106"/>
      <c r="U94" s="106"/>
    </row>
    <row r="95" spans="1:24" s="51" customFormat="1" ht="15" x14ac:dyDescent="0.25">
      <c r="A95" s="339" t="s">
        <v>299</v>
      </c>
      <c r="B95" s="340"/>
      <c r="C95" s="93"/>
      <c r="D95" s="82"/>
      <c r="E95" s="115"/>
      <c r="F95" s="94"/>
      <c r="G95" s="84"/>
      <c r="H95" s="85"/>
      <c r="I95" s="86"/>
      <c r="J95" s="116"/>
      <c r="K95" s="87"/>
      <c r="L95" s="88"/>
      <c r="N95" s="90"/>
      <c r="O95" s="91"/>
      <c r="P95" s="91"/>
      <c r="Q95" s="91"/>
      <c r="R95" s="171"/>
      <c r="S95" s="52"/>
      <c r="T95" s="106"/>
      <c r="U95" s="106"/>
    </row>
    <row r="96" spans="1:24" x14ac:dyDescent="0.3">
      <c r="A96" s="124" t="s">
        <v>169</v>
      </c>
      <c r="B96" s="123"/>
      <c r="C96" s="93"/>
      <c r="D96" s="82"/>
      <c r="E96" s="115"/>
      <c r="F96" s="94"/>
      <c r="G96" s="84"/>
      <c r="H96" s="85"/>
      <c r="I96" s="86"/>
      <c r="J96" s="116"/>
      <c r="K96" s="87"/>
      <c r="L96" s="88"/>
      <c r="N96" s="90"/>
      <c r="O96" s="91"/>
      <c r="P96" s="91"/>
      <c r="Q96" s="91"/>
      <c r="T96" s="108"/>
    </row>
    <row r="97" spans="1:21" s="51" customFormat="1" ht="15" x14ac:dyDescent="0.25">
      <c r="A97" s="125" t="s">
        <v>91</v>
      </c>
      <c r="B97" s="98"/>
      <c r="C97" s="54"/>
      <c r="J97" s="52"/>
      <c r="N97" s="55"/>
      <c r="R97" s="171"/>
      <c r="S97" s="52"/>
      <c r="T97" s="106"/>
      <c r="U97" s="107"/>
    </row>
    <row r="98" spans="1:21" s="51" customFormat="1" ht="15" x14ac:dyDescent="0.25">
      <c r="A98" s="126" t="s">
        <v>92</v>
      </c>
      <c r="B98" s="99"/>
      <c r="C98" s="56"/>
      <c r="J98" s="52"/>
      <c r="N98" s="55"/>
      <c r="R98" s="171"/>
      <c r="S98" s="52"/>
      <c r="T98" s="106"/>
      <c r="U98" s="107"/>
    </row>
    <row r="99" spans="1:21" x14ac:dyDescent="0.3">
      <c r="A99" s="378"/>
      <c r="B99" s="379"/>
      <c r="C99" s="376"/>
    </row>
  </sheetData>
  <autoFilter ref="A3:Z48" xr:uid="{1A3A9E4F-EBA9-4F21-9465-470ADB920276}">
    <sortState xmlns:xlrd2="http://schemas.microsoft.com/office/spreadsheetml/2017/richdata2" ref="A4:Z57">
      <sortCondition ref="B3:B48"/>
    </sortState>
  </autoFilter>
  <mergeCells count="4">
    <mergeCell ref="C2:G2"/>
    <mergeCell ref="H2:M2"/>
    <mergeCell ref="A91:C91"/>
    <mergeCell ref="A93:C93"/>
  </mergeCells>
  <phoneticPr fontId="17" type="noConversion"/>
  <conditionalFormatting sqref="N4:N71 N73:N89">
    <cfRule type="cellIs" dxfId="1" priority="2" operator="equal">
      <formula>"c+w+x"</formula>
    </cfRule>
  </conditionalFormatting>
  <conditionalFormatting sqref="N72">
    <cfRule type="cellIs" dxfId="0" priority="1" operator="notEqual">
      <formula>"V72+W72+X72"</formula>
    </cfRule>
  </conditionalFormatting>
  <pageMargins left="0.25" right="0.25" top="0.75" bottom="0.75" header="0.3" footer="0.3"/>
  <pageSetup paperSize="5" scale="6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C0CE8-FADA-411B-A986-B9FFC817E591}">
  <sheetPr>
    <tabColor rgb="FFCCFF66"/>
  </sheetPr>
  <dimension ref="A1:R72"/>
  <sheetViews>
    <sheetView workbookViewId="0">
      <pane ySplit="3" topLeftCell="A4" activePane="bottomLeft" state="frozen"/>
      <selection pane="bottomLeft" activeCell="M33" sqref="M33"/>
    </sheetView>
  </sheetViews>
  <sheetFormatPr defaultColWidth="9.23046875" defaultRowHeight="13.8" x14ac:dyDescent="0.3"/>
  <cols>
    <col min="1" max="1" width="3.23046875" style="1" customWidth="1"/>
    <col min="2" max="2" width="20.23046875" style="1" customWidth="1"/>
    <col min="3" max="12" width="6.23046875" style="1" bestFit="1" customWidth="1"/>
    <col min="13" max="13" width="6.53515625" style="1" bestFit="1" customWidth="1"/>
    <col min="14" max="14" width="6.84375" style="1" customWidth="1"/>
    <col min="15" max="15" width="6.23046875" style="2" bestFit="1" customWidth="1"/>
    <col min="16" max="16" width="10.3046875" style="1" customWidth="1"/>
    <col min="17" max="17" width="6.23046875" style="179" bestFit="1" customWidth="1"/>
    <col min="18" max="16384" width="9.23046875" style="1"/>
  </cols>
  <sheetData>
    <row r="1" spans="1:18" s="2" customFormat="1" x14ac:dyDescent="0.3">
      <c r="A1" s="138" t="s">
        <v>212</v>
      </c>
      <c r="B1" s="129"/>
      <c r="C1" s="129"/>
      <c r="D1" s="129"/>
      <c r="E1" s="129"/>
      <c r="F1" s="129"/>
      <c r="G1" s="129"/>
      <c r="H1" s="129"/>
      <c r="I1" s="129"/>
      <c r="J1" s="129"/>
      <c r="K1" s="129"/>
      <c r="L1" s="129"/>
      <c r="M1" s="129"/>
      <c r="N1" s="129"/>
      <c r="O1" s="129"/>
      <c r="Q1" s="178"/>
    </row>
    <row r="2" spans="1:18" s="2" customFormat="1" ht="41.4" x14ac:dyDescent="0.3">
      <c r="A2" s="138"/>
      <c r="B2" s="129"/>
      <c r="C2" s="129"/>
      <c r="D2" s="129"/>
      <c r="E2" s="129"/>
      <c r="F2" s="129"/>
      <c r="G2" s="129"/>
      <c r="H2" s="129"/>
      <c r="I2" s="195" t="s">
        <v>245</v>
      </c>
      <c r="J2" s="188" t="s">
        <v>235</v>
      </c>
      <c r="K2" s="184" t="s">
        <v>233</v>
      </c>
      <c r="L2" s="190" t="s">
        <v>239</v>
      </c>
      <c r="M2" s="186" t="s">
        <v>238</v>
      </c>
      <c r="N2" s="189" t="s">
        <v>237</v>
      </c>
      <c r="O2" s="183" t="s">
        <v>232</v>
      </c>
      <c r="Q2" s="329" t="s">
        <v>236</v>
      </c>
    </row>
    <row r="3" spans="1:18" ht="14.4" x14ac:dyDescent="0.3">
      <c r="A3" s="2"/>
      <c r="B3" s="191" t="s">
        <v>243</v>
      </c>
      <c r="C3" s="17">
        <v>45587</v>
      </c>
      <c r="D3" s="17">
        <v>45618</v>
      </c>
      <c r="E3" s="17">
        <v>45648</v>
      </c>
      <c r="F3" s="17">
        <v>45679</v>
      </c>
      <c r="G3" s="17">
        <v>45710</v>
      </c>
      <c r="H3" s="17">
        <v>45738</v>
      </c>
      <c r="I3" s="17">
        <v>45769</v>
      </c>
      <c r="J3" s="17">
        <v>45799</v>
      </c>
      <c r="K3" s="17">
        <v>45830</v>
      </c>
      <c r="L3" s="17">
        <v>45860</v>
      </c>
      <c r="M3" s="17">
        <v>45891</v>
      </c>
      <c r="N3" s="17">
        <v>45922</v>
      </c>
      <c r="O3" s="5" t="s">
        <v>9</v>
      </c>
      <c r="P3" s="6" t="s">
        <v>189</v>
      </c>
      <c r="Q3" s="181"/>
    </row>
    <row r="4" spans="1:18" s="6" customFormat="1" x14ac:dyDescent="0.3">
      <c r="A4" s="3" t="s">
        <v>27</v>
      </c>
      <c r="B4" s="4"/>
      <c r="C4" s="17"/>
      <c r="D4" s="17"/>
      <c r="E4" s="17"/>
      <c r="F4" s="192"/>
      <c r="G4" s="17"/>
      <c r="H4" s="17"/>
      <c r="I4" s="17"/>
      <c r="J4" s="17"/>
      <c r="K4" s="17"/>
      <c r="L4" s="17"/>
      <c r="M4" s="17"/>
      <c r="N4" s="17"/>
      <c r="O4" s="5"/>
      <c r="Q4" s="200"/>
      <c r="R4" s="4"/>
    </row>
    <row r="5" spans="1:18" x14ac:dyDescent="0.3">
      <c r="B5" s="18" t="s">
        <v>230</v>
      </c>
      <c r="C5" s="19">
        <f>84*20</f>
        <v>1680</v>
      </c>
      <c r="D5" s="19">
        <f>SUM(174*30)+(168*30)+(87*10)+(84*10)</f>
        <v>11970</v>
      </c>
      <c r="E5" s="19">
        <f>SUM(87*10)+(84*10)</f>
        <v>1710</v>
      </c>
      <c r="F5" s="19">
        <f>SUM(174*30)+(168*30)+(87*10)+(84*10)</f>
        <v>11970</v>
      </c>
      <c r="G5" s="19">
        <f>SUM(87*10)+(84*10)</f>
        <v>1710</v>
      </c>
      <c r="H5" s="19">
        <f>SUM(87*80)</f>
        <v>6960</v>
      </c>
      <c r="I5" s="19">
        <f t="shared" ref="I5:N5" si="0">SUM(87*80)</f>
        <v>6960</v>
      </c>
      <c r="J5" s="19">
        <f t="shared" si="0"/>
        <v>6960</v>
      </c>
      <c r="K5" s="19">
        <f t="shared" si="0"/>
        <v>6960</v>
      </c>
      <c r="L5" s="19">
        <f t="shared" si="0"/>
        <v>6960</v>
      </c>
      <c r="M5" s="19">
        <f t="shared" si="0"/>
        <v>6960</v>
      </c>
      <c r="N5" s="19">
        <f t="shared" si="0"/>
        <v>6960</v>
      </c>
      <c r="O5" s="20">
        <f>SUM(C5:N5)</f>
        <v>77760</v>
      </c>
      <c r="P5" s="139"/>
      <c r="Q5" s="199">
        <f>84*80*12</f>
        <v>80640</v>
      </c>
    </row>
    <row r="6" spans="1:18" x14ac:dyDescent="0.3">
      <c r="B6" s="18" t="s">
        <v>28</v>
      </c>
      <c r="C6" s="19">
        <v>0</v>
      </c>
      <c r="D6" s="19">
        <v>0</v>
      </c>
      <c r="E6" s="19">
        <v>150</v>
      </c>
      <c r="F6" s="19">
        <v>0</v>
      </c>
      <c r="G6" s="19">
        <v>0</v>
      </c>
      <c r="H6" s="19">
        <v>0</v>
      </c>
      <c r="I6" s="19">
        <v>0</v>
      </c>
      <c r="J6" s="19">
        <v>0</v>
      </c>
      <c r="K6" s="19">
        <v>0</v>
      </c>
      <c r="L6" s="19">
        <v>0</v>
      </c>
      <c r="M6" s="19">
        <v>0</v>
      </c>
      <c r="N6" s="19">
        <v>0</v>
      </c>
      <c r="O6" s="20">
        <f>SUM(C6:N6)</f>
        <v>150</v>
      </c>
      <c r="P6" s="139"/>
      <c r="Q6" s="199">
        <v>0</v>
      </c>
    </row>
    <row r="7" spans="1:18" ht="14.4" thickBot="1" x14ac:dyDescent="0.35">
      <c r="B7" s="21" t="s">
        <v>29</v>
      </c>
      <c r="C7" s="22">
        <v>6.6</v>
      </c>
      <c r="D7" s="22">
        <v>6.6</v>
      </c>
      <c r="E7" s="22">
        <v>6.6</v>
      </c>
      <c r="F7" s="22">
        <v>6.6</v>
      </c>
      <c r="G7" s="22">
        <v>6.6</v>
      </c>
      <c r="H7" s="22">
        <v>6.6</v>
      </c>
      <c r="I7" s="22">
        <v>6.6</v>
      </c>
      <c r="J7" s="22">
        <v>6.6</v>
      </c>
      <c r="K7" s="22">
        <v>6.6</v>
      </c>
      <c r="L7" s="22">
        <v>6.6</v>
      </c>
      <c r="M7" s="22">
        <v>6.6</v>
      </c>
      <c r="N7" s="22">
        <v>6.6</v>
      </c>
      <c r="O7" s="23">
        <f>SUM(C7:N7)</f>
        <v>79.199999999999989</v>
      </c>
      <c r="Q7" s="199">
        <v>66</v>
      </c>
    </row>
    <row r="8" spans="1:18" ht="14.4" thickBot="1" x14ac:dyDescent="0.35">
      <c r="B8" s="9" t="s">
        <v>31</v>
      </c>
      <c r="C8" s="10">
        <f t="shared" ref="C8:N8" si="1">SUM(C5:C7)</f>
        <v>1686.6</v>
      </c>
      <c r="D8" s="10">
        <f t="shared" si="1"/>
        <v>11976.6</v>
      </c>
      <c r="E8" s="10">
        <f t="shared" si="1"/>
        <v>1866.6</v>
      </c>
      <c r="F8" s="10">
        <f t="shared" si="1"/>
        <v>11976.6</v>
      </c>
      <c r="G8" s="10">
        <f t="shared" si="1"/>
        <v>1716.6</v>
      </c>
      <c r="H8" s="10">
        <f t="shared" si="1"/>
        <v>6966.6</v>
      </c>
      <c r="I8" s="10">
        <f t="shared" si="1"/>
        <v>6966.6</v>
      </c>
      <c r="J8" s="10">
        <f t="shared" si="1"/>
        <v>6966.6</v>
      </c>
      <c r="K8" s="10">
        <f t="shared" si="1"/>
        <v>6966.6</v>
      </c>
      <c r="L8" s="10">
        <f t="shared" si="1"/>
        <v>6966.6</v>
      </c>
      <c r="M8" s="10">
        <f t="shared" si="1"/>
        <v>6966.6</v>
      </c>
      <c r="N8" s="10">
        <f t="shared" si="1"/>
        <v>6966.6</v>
      </c>
      <c r="O8" s="11">
        <f>SUM(C8:N8)</f>
        <v>77989.2</v>
      </c>
      <c r="Q8" s="199">
        <v>80706</v>
      </c>
    </row>
    <row r="9" spans="1:18" x14ac:dyDescent="0.3">
      <c r="C9" s="8"/>
      <c r="D9" s="8"/>
      <c r="E9" s="8"/>
      <c r="F9" s="8"/>
      <c r="G9" s="12"/>
      <c r="H9" s="12"/>
      <c r="I9" s="12"/>
      <c r="J9" s="12"/>
      <c r="K9" s="12"/>
      <c r="L9" s="12"/>
      <c r="M9" s="12"/>
      <c r="N9" s="13"/>
      <c r="O9" s="12"/>
      <c r="Q9" s="199"/>
    </row>
    <row r="10" spans="1:18" s="6" customFormat="1" x14ac:dyDescent="0.3">
      <c r="A10" s="3" t="s">
        <v>8</v>
      </c>
      <c r="B10" s="5"/>
      <c r="C10" s="17">
        <v>45587</v>
      </c>
      <c r="D10" s="17">
        <v>45618</v>
      </c>
      <c r="E10" s="17">
        <v>45648</v>
      </c>
      <c r="F10" s="17">
        <v>45679</v>
      </c>
      <c r="G10" s="17">
        <v>45710</v>
      </c>
      <c r="H10" s="17">
        <v>45738</v>
      </c>
      <c r="I10" s="17">
        <v>45769</v>
      </c>
      <c r="J10" s="17">
        <v>45799</v>
      </c>
      <c r="K10" s="17">
        <v>45830</v>
      </c>
      <c r="L10" s="17">
        <v>45860</v>
      </c>
      <c r="M10" s="17">
        <v>45891</v>
      </c>
      <c r="N10" s="17">
        <v>45922</v>
      </c>
      <c r="O10" s="5" t="s">
        <v>25</v>
      </c>
      <c r="Q10" s="200" t="s">
        <v>25</v>
      </c>
      <c r="R10" s="4"/>
    </row>
    <row r="11" spans="1:18" x14ac:dyDescent="0.3">
      <c r="A11" s="14" t="s">
        <v>0</v>
      </c>
      <c r="B11" s="14"/>
      <c r="C11" s="7"/>
      <c r="D11" s="7"/>
      <c r="E11" s="7"/>
      <c r="F11" s="7"/>
      <c r="G11" s="13"/>
      <c r="H11" s="13"/>
      <c r="I11" s="13"/>
      <c r="J11" s="13"/>
      <c r="K11" s="13"/>
      <c r="L11" s="13"/>
      <c r="M11" s="13"/>
      <c r="N11" s="13"/>
      <c r="O11" s="12"/>
      <c r="P11" s="69"/>
      <c r="Q11" s="199"/>
    </row>
    <row r="12" spans="1:18" x14ac:dyDescent="0.3">
      <c r="B12" s="18" t="s">
        <v>10</v>
      </c>
      <c r="C12" s="19">
        <v>870</v>
      </c>
      <c r="D12" s="19">
        <v>875</v>
      </c>
      <c r="E12" s="19">
        <v>870</v>
      </c>
      <c r="F12" s="19">
        <v>875</v>
      </c>
      <c r="G12" s="19">
        <v>1620</v>
      </c>
      <c r="H12" s="19">
        <v>875</v>
      </c>
      <c r="I12" s="19">
        <v>870</v>
      </c>
      <c r="J12" s="19">
        <v>875</v>
      </c>
      <c r="K12" s="19">
        <v>870</v>
      </c>
      <c r="L12" s="19">
        <v>875</v>
      </c>
      <c r="M12" s="19">
        <v>870</v>
      </c>
      <c r="N12" s="19">
        <v>875</v>
      </c>
      <c r="O12" s="182">
        <v>11220</v>
      </c>
      <c r="P12" s="69"/>
      <c r="Q12" s="199">
        <v>11220</v>
      </c>
    </row>
    <row r="13" spans="1:18" x14ac:dyDescent="0.3">
      <c r="B13" s="18" t="s">
        <v>244</v>
      </c>
      <c r="C13" s="19">
        <v>65</v>
      </c>
      <c r="D13" s="19">
        <v>65</v>
      </c>
      <c r="E13" s="19">
        <v>65</v>
      </c>
      <c r="F13" s="19">
        <v>65</v>
      </c>
      <c r="G13" s="19">
        <v>65</v>
      </c>
      <c r="H13" s="19">
        <v>65</v>
      </c>
      <c r="I13" s="19">
        <v>65</v>
      </c>
      <c r="J13" s="19">
        <v>65</v>
      </c>
      <c r="K13" s="19">
        <v>65</v>
      </c>
      <c r="L13" s="19">
        <v>65</v>
      </c>
      <c r="M13" s="19">
        <v>65</v>
      </c>
      <c r="N13" s="19">
        <v>65</v>
      </c>
      <c r="O13" s="196">
        <f>SUM(C13:N13)</f>
        <v>780</v>
      </c>
      <c r="P13" s="69"/>
      <c r="Q13" s="199">
        <v>0</v>
      </c>
    </row>
    <row r="14" spans="1:18" x14ac:dyDescent="0.3">
      <c r="B14" s="18" t="s">
        <v>34</v>
      </c>
      <c r="C14" s="19"/>
      <c r="D14" s="19"/>
      <c r="E14" s="19"/>
      <c r="F14" s="19"/>
      <c r="G14" s="19"/>
      <c r="H14" s="19">
        <f>50*1.1</f>
        <v>55.000000000000007</v>
      </c>
      <c r="I14" s="19"/>
      <c r="J14" s="19"/>
      <c r="K14" s="19"/>
      <c r="L14" s="19"/>
      <c r="M14" s="19"/>
      <c r="N14" s="19"/>
      <c r="O14" s="182">
        <f t="shared" ref="O14:O43" si="2">SUM(C14:N14)</f>
        <v>55.000000000000007</v>
      </c>
      <c r="P14" s="69"/>
      <c r="Q14" s="199">
        <v>55.000000000000007</v>
      </c>
    </row>
    <row r="15" spans="1:18" x14ac:dyDescent="0.3">
      <c r="B15" s="18" t="s">
        <v>249</v>
      </c>
      <c r="C15" s="19"/>
      <c r="D15" s="19"/>
      <c r="E15" s="19"/>
      <c r="F15" s="19"/>
      <c r="G15" s="19">
        <v>100</v>
      </c>
      <c r="H15" s="19"/>
      <c r="I15" s="19"/>
      <c r="J15" s="19"/>
      <c r="K15" s="19"/>
      <c r="L15" s="19">
        <v>113.88</v>
      </c>
      <c r="M15" s="19"/>
      <c r="N15" s="19"/>
      <c r="O15" s="182">
        <v>213.88</v>
      </c>
      <c r="P15" s="69"/>
      <c r="Q15" s="199">
        <v>0</v>
      </c>
    </row>
    <row r="16" spans="1:18" x14ac:dyDescent="0.3">
      <c r="B16" s="18" t="s">
        <v>23</v>
      </c>
      <c r="C16" s="24"/>
      <c r="D16" s="24"/>
      <c r="E16" s="24"/>
      <c r="F16" s="24"/>
      <c r="G16" s="19"/>
      <c r="H16" s="19"/>
      <c r="I16" s="19"/>
      <c r="J16" s="19"/>
      <c r="K16" s="19"/>
      <c r="L16" s="19"/>
      <c r="M16" s="19">
        <v>255</v>
      </c>
      <c r="N16" s="19"/>
      <c r="O16" s="131">
        <f t="shared" si="2"/>
        <v>255</v>
      </c>
      <c r="P16" s="69"/>
      <c r="Q16" s="199">
        <v>249</v>
      </c>
    </row>
    <row r="17" spans="1:17" ht="69" x14ac:dyDescent="0.3">
      <c r="B17" s="18" t="s">
        <v>13</v>
      </c>
      <c r="C17" s="25">
        <v>0</v>
      </c>
      <c r="D17" s="25">
        <v>3</v>
      </c>
      <c r="E17" s="24">
        <f>SUM(0.73+0.15)*(80*2)</f>
        <v>140.80000000000001</v>
      </c>
      <c r="F17" s="25">
        <v>3</v>
      </c>
      <c r="G17" s="25">
        <v>0</v>
      </c>
      <c r="H17" s="25">
        <v>3</v>
      </c>
      <c r="I17" s="25">
        <v>0</v>
      </c>
      <c r="J17" s="25">
        <v>3</v>
      </c>
      <c r="K17" s="25">
        <v>0</v>
      </c>
      <c r="L17" s="25">
        <v>3</v>
      </c>
      <c r="M17" s="25">
        <v>0</v>
      </c>
      <c r="N17" s="25">
        <v>3</v>
      </c>
      <c r="O17" s="185">
        <f>SUM(C17:N17)</f>
        <v>158.80000000000001</v>
      </c>
      <c r="P17" s="135" t="s">
        <v>240</v>
      </c>
      <c r="Q17" s="199">
        <v>137</v>
      </c>
    </row>
    <row r="18" spans="1:17" x14ac:dyDescent="0.3">
      <c r="B18" s="18" t="s">
        <v>3</v>
      </c>
      <c r="C18" s="25"/>
      <c r="D18" s="25"/>
      <c r="E18" s="25"/>
      <c r="F18" s="25"/>
      <c r="G18" s="25"/>
      <c r="H18" s="25">
        <v>12.5</v>
      </c>
      <c r="I18" s="25"/>
      <c r="J18" s="25"/>
      <c r="K18" s="25"/>
      <c r="L18" s="25"/>
      <c r="M18" s="25"/>
      <c r="N18" s="25">
        <v>12.5</v>
      </c>
      <c r="O18" s="182">
        <f>SUM(C18:N18)</f>
        <v>25</v>
      </c>
      <c r="P18" s="69"/>
      <c r="Q18" s="199">
        <v>25</v>
      </c>
    </row>
    <row r="19" spans="1:17" ht="26.4" customHeight="1" x14ac:dyDescent="0.3">
      <c r="B19" s="18" t="s">
        <v>184</v>
      </c>
      <c r="C19" s="25"/>
      <c r="D19" s="25"/>
      <c r="E19" s="25"/>
      <c r="F19" s="25"/>
      <c r="G19" s="25"/>
      <c r="H19" s="25">
        <v>800</v>
      </c>
      <c r="I19" s="25"/>
      <c r="J19" s="25"/>
      <c r="K19" s="25"/>
      <c r="L19" s="25"/>
      <c r="M19" s="25"/>
      <c r="N19" s="25"/>
      <c r="O19" s="185">
        <f>SUM(C19:N19)</f>
        <v>800</v>
      </c>
      <c r="P19" s="132" t="s">
        <v>231</v>
      </c>
      <c r="Q19" s="199">
        <v>100</v>
      </c>
    </row>
    <row r="20" spans="1:17" x14ac:dyDescent="0.3">
      <c r="B20" s="18" t="s">
        <v>16</v>
      </c>
      <c r="C20" s="24"/>
      <c r="D20" s="24"/>
      <c r="E20" s="24"/>
      <c r="F20" s="24"/>
      <c r="G20" s="19"/>
      <c r="H20" s="19"/>
      <c r="I20" s="19"/>
      <c r="J20" s="19"/>
      <c r="K20" s="19"/>
      <c r="L20" s="19"/>
      <c r="M20" s="19">
        <v>250</v>
      </c>
      <c r="N20" s="19"/>
      <c r="O20" s="182">
        <f>SUM(C20:N20)</f>
        <v>250</v>
      </c>
      <c r="P20" s="69"/>
      <c r="Q20" s="199">
        <v>250</v>
      </c>
    </row>
    <row r="21" spans="1:17" ht="27.6" x14ac:dyDescent="0.3">
      <c r="B21" s="18" t="s">
        <v>1</v>
      </c>
      <c r="C21" s="24"/>
      <c r="D21" s="24"/>
      <c r="E21" s="24"/>
      <c r="F21" s="24"/>
      <c r="G21" s="19"/>
      <c r="H21" s="19"/>
      <c r="I21" s="19"/>
      <c r="J21" s="19"/>
      <c r="K21" s="19"/>
      <c r="L21" s="19"/>
      <c r="M21" s="19">
        <v>1500</v>
      </c>
      <c r="N21" s="19"/>
      <c r="O21" s="133">
        <f>SUM(C21:N21)</f>
        <v>1500</v>
      </c>
      <c r="P21" s="132" t="s">
        <v>234</v>
      </c>
      <c r="Q21" s="199">
        <v>2000</v>
      </c>
    </row>
    <row r="22" spans="1:17" x14ac:dyDescent="0.3">
      <c r="A22" s="14" t="s">
        <v>26</v>
      </c>
      <c r="B22" s="14"/>
      <c r="C22" s="13"/>
      <c r="D22" s="13"/>
      <c r="E22" s="13"/>
      <c r="F22" s="13"/>
      <c r="G22" s="7"/>
      <c r="H22" s="7"/>
      <c r="I22" s="7"/>
      <c r="J22" s="7"/>
      <c r="K22" s="7"/>
      <c r="L22" s="7"/>
      <c r="M22" s="7"/>
      <c r="N22" s="7"/>
      <c r="O22" s="8"/>
      <c r="P22" s="69"/>
      <c r="Q22" s="199"/>
    </row>
    <row r="23" spans="1:17" ht="27.6" x14ac:dyDescent="0.3">
      <c r="B23" s="18" t="s">
        <v>185</v>
      </c>
      <c r="C23" s="24"/>
      <c r="D23" s="24"/>
      <c r="E23" s="24"/>
      <c r="F23" s="24"/>
      <c r="G23" s="19">
        <v>33</v>
      </c>
      <c r="H23" s="19"/>
      <c r="I23" s="19"/>
      <c r="J23" s="19"/>
      <c r="K23" s="19"/>
      <c r="L23" s="19"/>
      <c r="M23" s="19"/>
      <c r="N23" s="19"/>
      <c r="O23" s="182">
        <f>SUM(C23:N23)</f>
        <v>33</v>
      </c>
      <c r="P23" s="132" t="s">
        <v>186</v>
      </c>
      <c r="Q23" s="199">
        <v>33</v>
      </c>
    </row>
    <row r="24" spans="1:17" ht="27.6" x14ac:dyDescent="0.3">
      <c r="B24" s="18" t="s">
        <v>187</v>
      </c>
      <c r="C24" s="24"/>
      <c r="D24" s="24"/>
      <c r="E24" s="24"/>
      <c r="F24" s="24"/>
      <c r="G24" s="19"/>
      <c r="H24" s="19"/>
      <c r="I24" s="19"/>
      <c r="J24" s="19"/>
      <c r="K24" s="19"/>
      <c r="L24" s="19">
        <v>125</v>
      </c>
      <c r="M24" s="19"/>
      <c r="N24" s="19"/>
      <c r="O24" s="182">
        <f>SUM(C24:N24)</f>
        <v>125</v>
      </c>
      <c r="P24" s="132" t="s">
        <v>186</v>
      </c>
      <c r="Q24" s="199">
        <v>125</v>
      </c>
    </row>
    <row r="25" spans="1:17" x14ac:dyDescent="0.3">
      <c r="B25" s="18" t="s">
        <v>12</v>
      </c>
      <c r="C25" s="24"/>
      <c r="D25" s="24"/>
      <c r="E25" s="24"/>
      <c r="F25" s="24"/>
      <c r="G25" s="19"/>
      <c r="H25" s="19">
        <v>160</v>
      </c>
      <c r="I25" s="19"/>
      <c r="J25" s="19"/>
      <c r="K25" s="19"/>
      <c r="L25" s="19"/>
      <c r="M25" s="19"/>
      <c r="N25" s="19"/>
      <c r="O25" s="182">
        <f t="shared" si="2"/>
        <v>160</v>
      </c>
      <c r="P25" s="69"/>
      <c r="Q25" s="199">
        <v>165</v>
      </c>
    </row>
    <row r="26" spans="1:17" x14ac:dyDescent="0.3">
      <c r="B26" s="18" t="s">
        <v>1</v>
      </c>
      <c r="C26" s="24"/>
      <c r="D26" s="24"/>
      <c r="E26" s="24"/>
      <c r="F26" s="24"/>
      <c r="G26" s="19"/>
      <c r="H26" s="19"/>
      <c r="I26" s="19"/>
      <c r="J26" s="19"/>
      <c r="K26" s="19"/>
      <c r="L26" s="19"/>
      <c r="M26" s="19"/>
      <c r="N26" s="19"/>
      <c r="O26" s="20">
        <f t="shared" si="2"/>
        <v>0</v>
      </c>
      <c r="P26" s="69"/>
      <c r="Q26" s="199">
        <v>0</v>
      </c>
    </row>
    <row r="27" spans="1:17" x14ac:dyDescent="0.3">
      <c r="A27" s="14" t="s">
        <v>2</v>
      </c>
      <c r="B27" s="14"/>
      <c r="C27" s="13"/>
      <c r="D27" s="13"/>
      <c r="E27" s="13"/>
      <c r="F27" s="13"/>
      <c r="G27" s="7"/>
      <c r="H27" s="7"/>
      <c r="I27" s="7"/>
      <c r="J27" s="7"/>
      <c r="K27" s="7"/>
      <c r="L27" s="7"/>
      <c r="M27" s="7"/>
      <c r="N27" s="7"/>
      <c r="O27" s="8"/>
      <c r="P27" s="69"/>
      <c r="Q27" s="199"/>
    </row>
    <row r="28" spans="1:17" x14ac:dyDescent="0.3">
      <c r="B28" s="18" t="s">
        <v>17</v>
      </c>
      <c r="C28" s="19">
        <v>416</v>
      </c>
      <c r="D28" s="19">
        <v>417</v>
      </c>
      <c r="E28" s="19">
        <v>416</v>
      </c>
      <c r="F28" s="19">
        <v>417</v>
      </c>
      <c r="G28" s="19">
        <v>416</v>
      </c>
      <c r="H28" s="19">
        <v>417</v>
      </c>
      <c r="I28" s="19">
        <v>416</v>
      </c>
      <c r="J28" s="19">
        <v>417</v>
      </c>
      <c r="K28" s="19">
        <v>417</v>
      </c>
      <c r="L28" s="19">
        <v>417</v>
      </c>
      <c r="M28" s="19">
        <v>417</v>
      </c>
      <c r="N28" s="19">
        <v>417</v>
      </c>
      <c r="O28" s="182">
        <f t="shared" si="2"/>
        <v>5000</v>
      </c>
      <c r="P28" s="69"/>
      <c r="Q28" s="199">
        <v>5000</v>
      </c>
    </row>
    <row r="29" spans="1:17" ht="27.6" x14ac:dyDescent="0.3">
      <c r="B29" s="27" t="s">
        <v>30</v>
      </c>
      <c r="C29" s="19">
        <v>83</v>
      </c>
      <c r="D29" s="19">
        <v>83</v>
      </c>
      <c r="E29" s="19">
        <v>83</v>
      </c>
      <c r="F29" s="19">
        <v>83</v>
      </c>
      <c r="G29" s="19">
        <v>83</v>
      </c>
      <c r="H29" s="19">
        <v>83</v>
      </c>
      <c r="I29" s="19">
        <v>83</v>
      </c>
      <c r="J29" s="19">
        <v>83</v>
      </c>
      <c r="K29" s="19">
        <v>84</v>
      </c>
      <c r="L29" s="19">
        <v>84</v>
      </c>
      <c r="M29" s="19">
        <v>84</v>
      </c>
      <c r="N29" s="19">
        <v>84</v>
      </c>
      <c r="O29" s="182">
        <f t="shared" si="2"/>
        <v>1000</v>
      </c>
      <c r="P29" s="69"/>
      <c r="Q29" s="199">
        <v>1000</v>
      </c>
    </row>
    <row r="30" spans="1:17" x14ac:dyDescent="0.3">
      <c r="B30" s="18" t="s">
        <v>24</v>
      </c>
      <c r="C30" s="19"/>
      <c r="D30" s="19"/>
      <c r="E30" s="19">
        <v>123</v>
      </c>
      <c r="F30" s="19"/>
      <c r="G30" s="19"/>
      <c r="H30" s="19">
        <v>124</v>
      </c>
      <c r="I30" s="19"/>
      <c r="J30" s="19"/>
      <c r="K30" s="19">
        <v>123</v>
      </c>
      <c r="L30" s="19"/>
      <c r="M30" s="19"/>
      <c r="N30" s="19">
        <v>125</v>
      </c>
      <c r="O30" s="182">
        <f t="shared" si="2"/>
        <v>495</v>
      </c>
      <c r="P30" s="69"/>
      <c r="Q30" s="199">
        <v>495</v>
      </c>
    </row>
    <row r="31" spans="1:17" x14ac:dyDescent="0.3">
      <c r="B31" s="18" t="s">
        <v>33</v>
      </c>
      <c r="C31" s="19">
        <v>400</v>
      </c>
      <c r="D31" s="19">
        <v>400</v>
      </c>
      <c r="E31" s="19">
        <v>400</v>
      </c>
      <c r="F31" s="19">
        <v>400</v>
      </c>
      <c r="G31" s="19">
        <v>400</v>
      </c>
      <c r="H31" s="19">
        <v>400</v>
      </c>
      <c r="I31" s="19">
        <v>400</v>
      </c>
      <c r="J31" s="19">
        <v>400</v>
      </c>
      <c r="K31" s="19">
        <v>400</v>
      </c>
      <c r="L31" s="19">
        <v>400</v>
      </c>
      <c r="M31" s="19">
        <v>400</v>
      </c>
      <c r="N31" s="19">
        <v>400</v>
      </c>
      <c r="O31" s="182">
        <f t="shared" si="2"/>
        <v>4800</v>
      </c>
      <c r="P31" s="69"/>
      <c r="Q31" s="199">
        <v>4800</v>
      </c>
    </row>
    <row r="32" spans="1:17" x14ac:dyDescent="0.3">
      <c r="B32" s="18" t="s">
        <v>18</v>
      </c>
      <c r="C32" s="19">
        <v>500</v>
      </c>
      <c r="D32" s="19">
        <v>500</v>
      </c>
      <c r="E32" s="19">
        <v>500</v>
      </c>
      <c r="F32" s="19">
        <v>500</v>
      </c>
      <c r="G32" s="19">
        <v>500</v>
      </c>
      <c r="H32" s="19">
        <v>500</v>
      </c>
      <c r="I32" s="19">
        <v>500</v>
      </c>
      <c r="J32" s="19">
        <v>500</v>
      </c>
      <c r="K32" s="19">
        <v>500</v>
      </c>
      <c r="L32" s="19">
        <v>500</v>
      </c>
      <c r="M32" s="19">
        <v>500</v>
      </c>
      <c r="N32" s="19">
        <v>500</v>
      </c>
      <c r="O32" s="182">
        <f t="shared" si="2"/>
        <v>6000</v>
      </c>
      <c r="P32" s="69"/>
      <c r="Q32" s="199">
        <v>6000</v>
      </c>
    </row>
    <row r="33" spans="1:17" x14ac:dyDescent="0.3">
      <c r="B33" s="18" t="s">
        <v>19</v>
      </c>
      <c r="C33" s="19"/>
      <c r="D33" s="19"/>
      <c r="E33" s="19"/>
      <c r="F33" s="19"/>
      <c r="G33" s="19"/>
      <c r="H33" s="19"/>
      <c r="I33" s="19"/>
      <c r="J33" s="19"/>
      <c r="K33" s="19"/>
      <c r="L33" s="19">
        <v>5000</v>
      </c>
      <c r="M33" s="19"/>
      <c r="N33" s="19"/>
      <c r="O33" s="182">
        <f t="shared" si="2"/>
        <v>5000</v>
      </c>
      <c r="P33" s="69"/>
      <c r="Q33" s="199">
        <v>5000</v>
      </c>
    </row>
    <row r="34" spans="1:17" x14ac:dyDescent="0.3">
      <c r="B34" s="18" t="s">
        <v>20</v>
      </c>
      <c r="C34" s="24"/>
      <c r="D34" s="24"/>
      <c r="E34" s="24">
        <v>1000</v>
      </c>
      <c r="F34" s="24"/>
      <c r="G34" s="19"/>
      <c r="H34" s="19"/>
      <c r="I34" s="19"/>
      <c r="J34" s="19"/>
      <c r="K34" s="19">
        <v>1000</v>
      </c>
      <c r="L34" s="19"/>
      <c r="M34" s="19"/>
      <c r="N34" s="19"/>
      <c r="O34" s="182">
        <f t="shared" si="2"/>
        <v>2000</v>
      </c>
      <c r="P34" s="69"/>
      <c r="Q34" s="199">
        <v>2000</v>
      </c>
    </row>
    <row r="35" spans="1:17" x14ac:dyDescent="0.3">
      <c r="B35" s="18" t="s">
        <v>1</v>
      </c>
      <c r="C35" s="24"/>
      <c r="D35" s="24"/>
      <c r="E35" s="24" t="s">
        <v>126</v>
      </c>
      <c r="F35" s="24"/>
      <c r="G35" s="19"/>
      <c r="H35" s="19"/>
      <c r="I35" s="19"/>
      <c r="J35" s="19"/>
      <c r="K35" s="19"/>
      <c r="L35" s="19"/>
      <c r="M35" s="19"/>
      <c r="N35" s="19"/>
      <c r="O35" s="20">
        <f t="shared" si="2"/>
        <v>0</v>
      </c>
      <c r="P35" s="69"/>
      <c r="Q35" s="199">
        <v>0</v>
      </c>
    </row>
    <row r="36" spans="1:17" x14ac:dyDescent="0.3">
      <c r="A36" s="14" t="s">
        <v>5</v>
      </c>
      <c r="B36" s="14"/>
      <c r="C36" s="13"/>
      <c r="D36" s="13"/>
      <c r="E36" s="13"/>
      <c r="F36" s="13"/>
      <c r="G36" s="7"/>
      <c r="H36" s="7"/>
      <c r="I36" s="7"/>
      <c r="J36" s="7"/>
      <c r="K36" s="7"/>
      <c r="L36" s="7"/>
      <c r="M36" s="7"/>
      <c r="N36" s="7"/>
      <c r="O36" s="8"/>
      <c r="P36" s="69"/>
      <c r="Q36" s="199"/>
    </row>
    <row r="37" spans="1:17" x14ac:dyDescent="0.3">
      <c r="B37" s="18" t="s">
        <v>21</v>
      </c>
      <c r="C37" s="24"/>
      <c r="D37" s="24"/>
      <c r="E37" s="24">
        <v>4500</v>
      </c>
      <c r="F37" s="24"/>
      <c r="G37" s="19"/>
      <c r="H37" s="19"/>
      <c r="I37" s="19"/>
      <c r="J37" s="19"/>
      <c r="K37" s="19"/>
      <c r="L37" s="19"/>
      <c r="M37" s="19"/>
      <c r="N37" s="19"/>
      <c r="O37" s="187">
        <f t="shared" si="2"/>
        <v>4500</v>
      </c>
      <c r="P37" s="69"/>
      <c r="Q37" s="199">
        <v>4380</v>
      </c>
    </row>
    <row r="38" spans="1:17" x14ac:dyDescent="0.3">
      <c r="B38" s="18" t="s">
        <v>11</v>
      </c>
      <c r="C38" s="24"/>
      <c r="D38" s="24"/>
      <c r="E38" s="24"/>
      <c r="F38" s="24"/>
      <c r="G38" s="19">
        <v>610</v>
      </c>
      <c r="H38" s="19"/>
      <c r="I38" s="19"/>
      <c r="J38" s="19"/>
      <c r="K38" s="19"/>
      <c r="L38" s="19"/>
      <c r="M38" s="19"/>
      <c r="N38" s="19"/>
      <c r="O38" s="182">
        <f t="shared" si="2"/>
        <v>610</v>
      </c>
      <c r="P38" s="69"/>
      <c r="Q38" s="199">
        <v>610</v>
      </c>
    </row>
    <row r="39" spans="1:17" x14ac:dyDescent="0.3">
      <c r="A39" s="14" t="s">
        <v>14</v>
      </c>
      <c r="B39" s="14"/>
      <c r="C39" s="13"/>
      <c r="D39" s="13"/>
      <c r="E39" s="13"/>
      <c r="F39" s="13"/>
      <c r="G39" s="7"/>
      <c r="H39" s="7"/>
      <c r="I39" s="7"/>
      <c r="J39" s="7"/>
      <c r="K39" s="7"/>
      <c r="L39" s="7"/>
      <c r="M39" s="7"/>
      <c r="N39" s="7"/>
      <c r="O39" s="8"/>
      <c r="P39" s="69"/>
      <c r="Q39" s="199"/>
    </row>
    <row r="40" spans="1:17" x14ac:dyDescent="0.3">
      <c r="B40" s="18" t="s">
        <v>22</v>
      </c>
      <c r="C40" s="19">
        <v>2</v>
      </c>
      <c r="D40" s="24">
        <v>2</v>
      </c>
      <c r="E40" s="19">
        <v>2</v>
      </c>
      <c r="F40" s="24">
        <v>2</v>
      </c>
      <c r="G40" s="19">
        <v>2</v>
      </c>
      <c r="H40" s="24">
        <v>2</v>
      </c>
      <c r="I40" s="19">
        <v>2</v>
      </c>
      <c r="J40" s="24">
        <v>2</v>
      </c>
      <c r="K40" s="19">
        <v>2</v>
      </c>
      <c r="L40" s="24">
        <v>2</v>
      </c>
      <c r="M40" s="19">
        <v>2</v>
      </c>
      <c r="N40" s="24">
        <v>2</v>
      </c>
      <c r="O40" s="185">
        <f>SUM(C40:N40)</f>
        <v>24</v>
      </c>
      <c r="P40" s="69"/>
      <c r="Q40" s="199">
        <v>24</v>
      </c>
    </row>
    <row r="41" spans="1:17" x14ac:dyDescent="0.3">
      <c r="B41" s="18" t="s">
        <v>102</v>
      </c>
      <c r="C41" s="19">
        <v>100.8</v>
      </c>
      <c r="D41" s="24">
        <v>100.8</v>
      </c>
      <c r="E41" s="19">
        <v>100.8</v>
      </c>
      <c r="F41" s="24">
        <v>100.8</v>
      </c>
      <c r="G41" s="19">
        <v>100.8</v>
      </c>
      <c r="H41" s="24">
        <v>100.8</v>
      </c>
      <c r="I41" s="19">
        <v>100.8</v>
      </c>
      <c r="J41" s="24">
        <v>100.8</v>
      </c>
      <c r="K41" s="19">
        <v>100.8</v>
      </c>
      <c r="L41" s="24">
        <v>100.8</v>
      </c>
      <c r="M41" s="19">
        <v>100.8</v>
      </c>
      <c r="N41" s="24">
        <f>100.8</f>
        <v>100.8</v>
      </c>
      <c r="O41" s="182">
        <f t="shared" si="2"/>
        <v>1209.5999999999997</v>
      </c>
      <c r="P41" s="69"/>
      <c r="Q41" s="199">
        <v>1209.5999999999997</v>
      </c>
    </row>
    <row r="42" spans="1:17" x14ac:dyDescent="0.3">
      <c r="B42" s="18" t="s">
        <v>6</v>
      </c>
      <c r="C42" s="19">
        <v>187</v>
      </c>
      <c r="D42" s="24">
        <v>187</v>
      </c>
      <c r="E42" s="19">
        <v>187</v>
      </c>
      <c r="F42" s="24">
        <v>187</v>
      </c>
      <c r="G42" s="19">
        <v>187</v>
      </c>
      <c r="H42" s="24">
        <v>187</v>
      </c>
      <c r="I42" s="19">
        <v>187</v>
      </c>
      <c r="J42" s="24">
        <v>187</v>
      </c>
      <c r="K42" s="19">
        <v>187</v>
      </c>
      <c r="L42" s="24">
        <v>187</v>
      </c>
      <c r="M42" s="19">
        <v>187</v>
      </c>
      <c r="N42" s="24">
        <v>187</v>
      </c>
      <c r="O42" s="187">
        <f t="shared" si="2"/>
        <v>2244</v>
      </c>
      <c r="P42" s="69"/>
      <c r="Q42" s="199">
        <v>2244</v>
      </c>
    </row>
    <row r="43" spans="1:17" x14ac:dyDescent="0.3">
      <c r="B43" s="18" t="s">
        <v>7</v>
      </c>
      <c r="C43" s="24">
        <f>56.25*23</f>
        <v>1293.75</v>
      </c>
      <c r="D43" s="24">
        <f t="shared" ref="D43:N43" si="3">56.25*23</f>
        <v>1293.75</v>
      </c>
      <c r="E43" s="24">
        <f t="shared" si="3"/>
        <v>1293.75</v>
      </c>
      <c r="F43" s="24">
        <f t="shared" si="3"/>
        <v>1293.75</v>
      </c>
      <c r="G43" s="24">
        <f t="shared" si="3"/>
        <v>1293.75</v>
      </c>
      <c r="H43" s="24">
        <f t="shared" si="3"/>
        <v>1293.75</v>
      </c>
      <c r="I43" s="24">
        <f t="shared" si="3"/>
        <v>1293.75</v>
      </c>
      <c r="J43" s="24">
        <f t="shared" si="3"/>
        <v>1293.75</v>
      </c>
      <c r="K43" s="24">
        <f t="shared" si="3"/>
        <v>1293.75</v>
      </c>
      <c r="L43" s="24">
        <f t="shared" si="3"/>
        <v>1293.75</v>
      </c>
      <c r="M43" s="24">
        <f t="shared" si="3"/>
        <v>1293.75</v>
      </c>
      <c r="N43" s="24">
        <f t="shared" si="3"/>
        <v>1293.75</v>
      </c>
      <c r="O43" s="134">
        <f t="shared" si="2"/>
        <v>15525</v>
      </c>
      <c r="P43" s="135"/>
      <c r="Q43" s="199">
        <v>15266.25</v>
      </c>
    </row>
    <row r="44" spans="1:17" x14ac:dyDescent="0.3">
      <c r="A44" s="14" t="s">
        <v>4</v>
      </c>
      <c r="B44" s="14"/>
      <c r="C44" s="7"/>
      <c r="D44" s="13"/>
      <c r="E44" s="13"/>
      <c r="F44" s="13"/>
      <c r="G44" s="7"/>
      <c r="H44" s="7"/>
      <c r="I44" s="7"/>
      <c r="J44" s="7"/>
      <c r="K44" s="7"/>
      <c r="L44" s="7"/>
      <c r="M44" s="7"/>
      <c r="N44" s="7"/>
      <c r="O44" s="8"/>
      <c r="P44" s="69"/>
      <c r="Q44" s="199"/>
    </row>
    <row r="45" spans="1:17" x14ac:dyDescent="0.3">
      <c r="B45" s="18" t="s">
        <v>15</v>
      </c>
      <c r="C45" s="25">
        <f>441+483</f>
        <v>924</v>
      </c>
      <c r="D45" s="25">
        <f>441+483</f>
        <v>924</v>
      </c>
      <c r="E45" s="25">
        <f t="shared" ref="E45:N45" si="4">441+483</f>
        <v>924</v>
      </c>
      <c r="F45" s="25">
        <f t="shared" si="4"/>
        <v>924</v>
      </c>
      <c r="G45" s="25">
        <f t="shared" si="4"/>
        <v>924</v>
      </c>
      <c r="H45" s="25">
        <f t="shared" si="4"/>
        <v>924</v>
      </c>
      <c r="I45" s="25">
        <f t="shared" si="4"/>
        <v>924</v>
      </c>
      <c r="J45" s="25">
        <f t="shared" si="4"/>
        <v>924</v>
      </c>
      <c r="K45" s="25">
        <f t="shared" si="4"/>
        <v>924</v>
      </c>
      <c r="L45" s="25">
        <f t="shared" si="4"/>
        <v>924</v>
      </c>
      <c r="M45" s="25">
        <f t="shared" si="4"/>
        <v>924</v>
      </c>
      <c r="N45" s="25">
        <f t="shared" si="4"/>
        <v>924</v>
      </c>
      <c r="O45" s="182">
        <f>SUM(C45:N45)</f>
        <v>11088</v>
      </c>
      <c r="P45" s="69"/>
      <c r="Q45" s="199">
        <v>11088</v>
      </c>
    </row>
    <row r="46" spans="1:17" x14ac:dyDescent="0.3">
      <c r="A46" s="14" t="s">
        <v>188</v>
      </c>
      <c r="B46" s="14"/>
      <c r="C46" s="136"/>
      <c r="D46" s="136"/>
      <c r="E46" s="136"/>
      <c r="F46" s="136"/>
      <c r="G46" s="136"/>
      <c r="H46" s="136"/>
      <c r="I46" s="136"/>
      <c r="J46" s="136"/>
      <c r="K46" s="136"/>
      <c r="L46" s="136"/>
      <c r="M46" s="136"/>
      <c r="N46" s="136"/>
      <c r="O46" s="137"/>
      <c r="P46" s="69"/>
      <c r="Q46" s="199"/>
    </row>
    <row r="47" spans="1:17" ht="14.4" thickBot="1" x14ac:dyDescent="0.35">
      <c r="B47" s="21" t="s">
        <v>188</v>
      </c>
      <c r="C47" s="26">
        <v>600</v>
      </c>
      <c r="D47" s="26">
        <v>600</v>
      </c>
      <c r="E47" s="26">
        <v>600</v>
      </c>
      <c r="F47" s="26">
        <v>600</v>
      </c>
      <c r="G47" s="26">
        <v>600</v>
      </c>
      <c r="H47" s="26">
        <v>600</v>
      </c>
      <c r="I47" s="26">
        <v>600</v>
      </c>
      <c r="J47" s="26">
        <v>600</v>
      </c>
      <c r="K47" s="26">
        <v>600</v>
      </c>
      <c r="L47" s="26">
        <v>600</v>
      </c>
      <c r="M47" s="26">
        <v>600</v>
      </c>
      <c r="N47" s="26">
        <v>600</v>
      </c>
      <c r="O47" s="182">
        <f>SUM(C47:N47)</f>
        <v>7200</v>
      </c>
      <c r="P47" s="13"/>
      <c r="Q47" s="199">
        <v>7200</v>
      </c>
    </row>
    <row r="48" spans="1:17" ht="14.4" thickBot="1" x14ac:dyDescent="0.35">
      <c r="B48" s="9" t="s">
        <v>32</v>
      </c>
      <c r="C48" s="10">
        <f>SUM(C12:C47)</f>
        <v>5441.55</v>
      </c>
      <c r="D48" s="10">
        <f t="shared" ref="D48:N48" si="5">SUM(D12:D47)</f>
        <v>5450.55</v>
      </c>
      <c r="E48" s="10">
        <f t="shared" si="5"/>
        <v>11205.35</v>
      </c>
      <c r="F48" s="10">
        <f t="shared" si="5"/>
        <v>5450.55</v>
      </c>
      <c r="G48" s="10">
        <f t="shared" si="5"/>
        <v>6934.55</v>
      </c>
      <c r="H48" s="10">
        <f t="shared" si="5"/>
        <v>6602.05</v>
      </c>
      <c r="I48" s="10">
        <f t="shared" si="5"/>
        <v>5441.55</v>
      </c>
      <c r="J48" s="10">
        <f t="shared" si="5"/>
        <v>5450.55</v>
      </c>
      <c r="K48" s="10">
        <f t="shared" si="5"/>
        <v>6566.55</v>
      </c>
      <c r="L48" s="10">
        <f t="shared" si="5"/>
        <v>10690.43</v>
      </c>
      <c r="M48" s="10">
        <f t="shared" si="5"/>
        <v>7448.55</v>
      </c>
      <c r="N48" s="10">
        <f t="shared" si="5"/>
        <v>5589.05</v>
      </c>
      <c r="O48" s="11">
        <f>SUM(C48:N48)</f>
        <v>82271.280000000028</v>
      </c>
      <c r="P48" s="69"/>
      <c r="Q48" s="179">
        <f>SUM(Q12:Q47)</f>
        <v>80675.850000000006</v>
      </c>
    </row>
    <row r="49" spans="3:16" x14ac:dyDescent="0.3">
      <c r="C49" s="13"/>
      <c r="D49" s="13"/>
      <c r="E49" s="13"/>
      <c r="F49" s="13"/>
      <c r="G49" s="7"/>
      <c r="H49" s="7"/>
      <c r="I49" s="7"/>
      <c r="J49" s="7"/>
      <c r="K49" s="7"/>
      <c r="L49" s="7"/>
      <c r="M49" s="7"/>
      <c r="N49" s="7"/>
      <c r="O49" s="228">
        <f>SUM(O12:O47)</f>
        <v>82271.28</v>
      </c>
      <c r="P49" s="69"/>
    </row>
    <row r="50" spans="3:16" x14ac:dyDescent="0.3">
      <c r="C50" s="13"/>
      <c r="D50" s="13"/>
      <c r="E50" s="13"/>
      <c r="F50" s="13"/>
      <c r="G50" s="13"/>
      <c r="H50" s="13"/>
      <c r="I50" s="13"/>
      <c r="J50" s="13"/>
      <c r="K50" s="13"/>
      <c r="L50" s="13"/>
      <c r="M50" s="13"/>
      <c r="N50" s="13"/>
      <c r="O50" s="12"/>
      <c r="P50" s="69"/>
    </row>
    <row r="51" spans="3:16" x14ac:dyDescent="0.3">
      <c r="O51" s="180"/>
    </row>
    <row r="52" spans="3:16" x14ac:dyDescent="0.3">
      <c r="O52" s="180"/>
    </row>
    <row r="53" spans="3:16" x14ac:dyDescent="0.3">
      <c r="O53" s="180"/>
    </row>
    <row r="54" spans="3:16" x14ac:dyDescent="0.3">
      <c r="N54" s="140"/>
      <c r="O54" s="180"/>
    </row>
    <row r="55" spans="3:16" x14ac:dyDescent="0.3">
      <c r="N55" s="140"/>
      <c r="O55" s="180"/>
    </row>
    <row r="56" spans="3:16" x14ac:dyDescent="0.3">
      <c r="N56" s="140"/>
      <c r="O56" s="180"/>
    </row>
    <row r="57" spans="3:16" x14ac:dyDescent="0.3">
      <c r="N57" s="140"/>
      <c r="O57" s="180"/>
    </row>
    <row r="58" spans="3:16" x14ac:dyDescent="0.3">
      <c r="N58" s="140"/>
      <c r="O58" s="180"/>
    </row>
    <row r="61" spans="3:16" x14ac:dyDescent="0.3">
      <c r="J61" s="139"/>
      <c r="O61" s="1"/>
    </row>
    <row r="62" spans="3:16" x14ac:dyDescent="0.3">
      <c r="D62" s="141"/>
      <c r="F62" s="139"/>
      <c r="H62" s="141"/>
      <c r="J62" s="142"/>
      <c r="O62" s="1"/>
    </row>
    <row r="63" spans="3:16" x14ac:dyDescent="0.3">
      <c r="E63" s="143"/>
      <c r="F63" s="142"/>
      <c r="H63" s="143"/>
      <c r="I63" s="143"/>
      <c r="J63" s="142"/>
      <c r="O63" s="1"/>
    </row>
    <row r="64" spans="3:16" x14ac:dyDescent="0.3">
      <c r="E64" s="143"/>
      <c r="F64" s="142"/>
      <c r="H64" s="143"/>
      <c r="I64" s="143"/>
      <c r="J64" s="142"/>
      <c r="O64" s="1"/>
    </row>
    <row r="65" spans="2:15" x14ac:dyDescent="0.3">
      <c r="E65" s="143"/>
      <c r="F65" s="142"/>
      <c r="H65" s="143"/>
      <c r="I65" s="143"/>
      <c r="J65" s="142"/>
      <c r="O65" s="1"/>
    </row>
    <row r="66" spans="2:15" x14ac:dyDescent="0.3">
      <c r="E66" s="143"/>
      <c r="F66" s="142"/>
      <c r="H66" s="143"/>
      <c r="I66" s="143"/>
      <c r="J66" s="142"/>
      <c r="O66" s="1"/>
    </row>
    <row r="67" spans="2:15" x14ac:dyDescent="0.3">
      <c r="B67" s="144"/>
      <c r="C67" s="145"/>
      <c r="E67" s="143"/>
      <c r="F67" s="142"/>
      <c r="H67" s="143"/>
      <c r="I67" s="143"/>
      <c r="J67" s="142"/>
      <c r="O67" s="1"/>
    </row>
    <row r="68" spans="2:15" x14ac:dyDescent="0.3">
      <c r="E68" s="143"/>
      <c r="F68" s="142"/>
      <c r="H68" s="143"/>
      <c r="I68" s="143"/>
      <c r="O68" s="1"/>
    </row>
    <row r="69" spans="2:15" x14ac:dyDescent="0.3">
      <c r="E69" s="143"/>
      <c r="I69" s="146"/>
      <c r="O69" s="1"/>
    </row>
    <row r="70" spans="2:15" x14ac:dyDescent="0.3">
      <c r="L70" s="146"/>
      <c r="O70" s="1"/>
    </row>
    <row r="71" spans="2:15" x14ac:dyDescent="0.3">
      <c r="E71" s="146"/>
      <c r="I71" s="146"/>
      <c r="N71" s="2"/>
      <c r="O71" s="1"/>
    </row>
    <row r="72" spans="2:15" x14ac:dyDescent="0.3">
      <c r="N72" s="2"/>
      <c r="O72" s="1"/>
    </row>
  </sheetData>
  <pageMargins left="0.7" right="0.7" top="0" bottom="0" header="0.3" footer="0.3"/>
  <pageSetup scale="65"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3E782-F16A-4F27-AE94-350DD90CC731}">
  <sheetPr>
    <tabColor rgb="FFCCFFFF"/>
  </sheetPr>
  <dimension ref="A1:V60"/>
  <sheetViews>
    <sheetView zoomScale="70" zoomScaleNormal="70" workbookViewId="0">
      <pane xSplit="2" ySplit="2" topLeftCell="C32" activePane="bottomRight" state="frozen"/>
      <selection pane="topRight" activeCell="C1" sqref="C1"/>
      <selection pane="bottomLeft" activeCell="A3" sqref="A3"/>
      <selection pane="bottomRight" activeCell="M49" sqref="M49"/>
    </sheetView>
  </sheetViews>
  <sheetFormatPr defaultRowHeight="17.399999999999999" outlineLevelRow="2" x14ac:dyDescent="0.3"/>
  <cols>
    <col min="1" max="1" width="10" customWidth="1"/>
    <col min="2" max="2" width="10.07421875" customWidth="1"/>
    <col min="3" max="3" width="9.3046875" bestFit="1" customWidth="1"/>
    <col min="4" max="4" width="11.3046875" bestFit="1" customWidth="1"/>
    <col min="5" max="5" width="9.53515625" customWidth="1"/>
    <col min="6" max="6" width="12.4609375" bestFit="1" customWidth="1"/>
    <col min="7" max="7" width="12.07421875" bestFit="1" customWidth="1"/>
    <col min="8" max="8" width="12.3046875" customWidth="1"/>
    <col min="9" max="9" width="1.69140625" customWidth="1"/>
    <col min="10" max="10" width="11.84375" bestFit="1" customWidth="1"/>
    <col min="11" max="11" width="8" bestFit="1" customWidth="1"/>
    <col min="12" max="12" width="10.61328125" bestFit="1" customWidth="1"/>
    <col min="13" max="13" width="12.69140625" bestFit="1" customWidth="1"/>
    <col min="14" max="14" width="13" bestFit="1" customWidth="1"/>
    <col min="15" max="15" width="1.69140625" customWidth="1"/>
    <col min="16" max="16" width="13.07421875" style="208" customWidth="1"/>
    <col min="17" max="17" width="2.765625" customWidth="1"/>
    <col min="18" max="18" width="11.53515625" style="48" bestFit="1" customWidth="1"/>
    <col min="19" max="19" width="12.3046875" style="48" customWidth="1"/>
    <col min="20" max="20" width="11.84375" style="48" bestFit="1" customWidth="1"/>
    <col min="21" max="21" width="11.84375" bestFit="1" customWidth="1"/>
  </cols>
  <sheetData>
    <row r="1" spans="1:20" ht="20.399999999999999" x14ac:dyDescent="0.35">
      <c r="C1" s="366" t="s">
        <v>276</v>
      </c>
      <c r="D1" s="366"/>
      <c r="E1" s="366"/>
      <c r="F1" s="366"/>
      <c r="G1" s="366"/>
      <c r="H1" s="366"/>
      <c r="I1" s="295"/>
      <c r="J1" s="367" t="s">
        <v>277</v>
      </c>
      <c r="K1" s="367"/>
      <c r="L1" s="367"/>
      <c r="M1" s="367"/>
      <c r="N1" s="367"/>
      <c r="O1" s="295"/>
    </row>
    <row r="2" spans="1:20" s="113" customFormat="1" ht="69.599999999999994" x14ac:dyDescent="0.3">
      <c r="A2" s="113" t="s">
        <v>144</v>
      </c>
      <c r="B2" s="113" t="s">
        <v>145</v>
      </c>
      <c r="C2" s="113" t="s">
        <v>275</v>
      </c>
      <c r="D2" s="205" t="s">
        <v>259</v>
      </c>
      <c r="E2" s="322" t="s">
        <v>258</v>
      </c>
      <c r="F2" s="113" t="s">
        <v>146</v>
      </c>
      <c r="G2" s="113" t="s">
        <v>130</v>
      </c>
      <c r="H2" s="113" t="s">
        <v>129</v>
      </c>
      <c r="I2" s="296"/>
      <c r="J2" s="113" t="s">
        <v>131</v>
      </c>
      <c r="K2" s="113" t="s">
        <v>132</v>
      </c>
      <c r="L2" s="113" t="s">
        <v>160</v>
      </c>
      <c r="M2" s="113" t="s">
        <v>130</v>
      </c>
      <c r="N2" s="113" t="s">
        <v>129</v>
      </c>
      <c r="O2" s="296"/>
      <c r="P2" s="113" t="s">
        <v>161</v>
      </c>
      <c r="R2" s="193" t="s">
        <v>260</v>
      </c>
      <c r="S2" s="193" t="s">
        <v>261</v>
      </c>
      <c r="T2" s="193" t="s">
        <v>190</v>
      </c>
    </row>
    <row r="3" spans="1:20" s="111" customFormat="1" outlineLevel="2" x14ac:dyDescent="0.3">
      <c r="A3" s="302" t="s">
        <v>147</v>
      </c>
      <c r="B3" s="302" t="s">
        <v>159</v>
      </c>
      <c r="C3" s="112">
        <v>0</v>
      </c>
      <c r="D3" s="292"/>
      <c r="E3" s="292"/>
      <c r="F3" s="112">
        <f>-885.92</f>
        <v>-885.92</v>
      </c>
      <c r="G3" s="112">
        <v>900</v>
      </c>
      <c r="H3" s="112">
        <f>100+C3+F3+G3</f>
        <v>114.08000000000004</v>
      </c>
      <c r="I3" s="302"/>
      <c r="J3" s="112">
        <v>1305</v>
      </c>
      <c r="K3" s="112">
        <v>1.33</v>
      </c>
      <c r="L3" s="112">
        <v>68766.94</v>
      </c>
      <c r="M3" s="112">
        <f>-900</f>
        <v>-900</v>
      </c>
      <c r="N3" s="112">
        <f>5+J3+K3+L3+M3</f>
        <v>69178.27</v>
      </c>
      <c r="O3" s="294"/>
      <c r="P3" s="175">
        <f>H3+N3</f>
        <v>69292.350000000006</v>
      </c>
      <c r="R3" s="112">
        <v>2464.3000000000002</v>
      </c>
      <c r="S3" s="112">
        <v>1905.3</v>
      </c>
      <c r="T3" s="112">
        <v>-559.00000000000023</v>
      </c>
    </row>
    <row r="4" spans="1:20" s="111" customFormat="1" outlineLevel="2" x14ac:dyDescent="0.3">
      <c r="A4" s="302" t="s">
        <v>147</v>
      </c>
      <c r="B4" s="302" t="s">
        <v>158</v>
      </c>
      <c r="C4" s="112">
        <v>0</v>
      </c>
      <c r="D4" s="292"/>
      <c r="E4" s="292"/>
      <c r="F4" s="112">
        <f>-89.5-742.5-446.3</f>
        <v>-1278.3</v>
      </c>
      <c r="G4" s="112">
        <f>1000+10000</f>
        <v>11000</v>
      </c>
      <c r="H4" s="112">
        <f>H3+C4+F4+G4</f>
        <v>9835.7800000000007</v>
      </c>
      <c r="I4" s="302"/>
      <c r="J4" s="112">
        <v>7025</v>
      </c>
      <c r="K4" s="112">
        <v>2.61</v>
      </c>
      <c r="L4" s="112">
        <v>0</v>
      </c>
      <c r="M4" s="112">
        <f>-1000-10000</f>
        <v>-11000</v>
      </c>
      <c r="N4" s="112">
        <f>N3+J4+K4+L4+M4</f>
        <v>65205.880000000005</v>
      </c>
      <c r="O4" s="294"/>
      <c r="P4" s="175">
        <f t="shared" ref="P4:P46" si="0">H4+N4</f>
        <v>75041.66</v>
      </c>
      <c r="R4" s="112">
        <v>8415.2899999999936</v>
      </c>
      <c r="S4" s="112">
        <v>9257.2900000000009</v>
      </c>
      <c r="T4" s="112">
        <v>842.00000000000728</v>
      </c>
    </row>
    <row r="5" spans="1:20" s="111" customFormat="1" outlineLevel="2" x14ac:dyDescent="0.3">
      <c r="A5" s="302" t="s">
        <v>147</v>
      </c>
      <c r="B5" s="302" t="s">
        <v>157</v>
      </c>
      <c r="C5" s="112">
        <v>0</v>
      </c>
      <c r="D5" s="292"/>
      <c r="E5" s="292"/>
      <c r="F5" s="112">
        <f>-89.5-76.37-538.75</f>
        <v>-704.62</v>
      </c>
      <c r="G5" s="112">
        <v>0</v>
      </c>
      <c r="H5" s="112">
        <f t="shared" ref="H5:H14" si="1">H4+C5+F5+G5</f>
        <v>9131.16</v>
      </c>
      <c r="I5" s="302"/>
      <c r="J5" s="112">
        <v>1815</v>
      </c>
      <c r="K5" s="112">
        <v>2.81</v>
      </c>
      <c r="L5" s="112">
        <v>0</v>
      </c>
      <c r="M5" s="112">
        <v>0</v>
      </c>
      <c r="N5" s="112">
        <f t="shared" ref="N5:N14" si="2">N4+J5+K5+L5+M5</f>
        <v>67023.69</v>
      </c>
      <c r="O5" s="294"/>
      <c r="P5" s="175">
        <f t="shared" si="0"/>
        <v>76154.850000000006</v>
      </c>
      <c r="R5" s="112">
        <v>4210.66</v>
      </c>
      <c r="S5" s="112">
        <v>2918.66</v>
      </c>
      <c r="T5" s="112">
        <v>-1292</v>
      </c>
    </row>
    <row r="6" spans="1:20" s="111" customFormat="1" outlineLevel="2" x14ac:dyDescent="0.3">
      <c r="A6" s="302" t="s">
        <v>147</v>
      </c>
      <c r="B6" s="303" t="s">
        <v>148</v>
      </c>
      <c r="C6" s="112">
        <v>0</v>
      </c>
      <c r="D6" s="292"/>
      <c r="E6" s="292"/>
      <c r="F6" s="112">
        <f>-89.5-515.16</f>
        <v>-604.66</v>
      </c>
      <c r="G6" s="112">
        <v>0</v>
      </c>
      <c r="H6" s="112">
        <f t="shared" si="1"/>
        <v>8526.5</v>
      </c>
      <c r="I6" s="302"/>
      <c r="J6" s="112">
        <v>6710</v>
      </c>
      <c r="K6" s="112">
        <v>3.01</v>
      </c>
      <c r="L6" s="112">
        <v>0</v>
      </c>
      <c r="M6" s="112">
        <v>0</v>
      </c>
      <c r="N6" s="112">
        <f t="shared" si="2"/>
        <v>73736.7</v>
      </c>
      <c r="O6" s="294"/>
      <c r="P6" s="175">
        <f t="shared" si="0"/>
        <v>82263.199999999997</v>
      </c>
      <c r="R6" s="112">
        <v>12397.8</v>
      </c>
      <c r="S6" s="112">
        <v>12557.8</v>
      </c>
      <c r="T6" s="112">
        <v>160</v>
      </c>
    </row>
    <row r="7" spans="1:20" s="111" customFormat="1" outlineLevel="2" x14ac:dyDescent="0.3">
      <c r="A7" s="302" t="s">
        <v>147</v>
      </c>
      <c r="B7" s="304" t="s">
        <v>149</v>
      </c>
      <c r="C7" s="112">
        <f>0.06</f>
        <v>0.06</v>
      </c>
      <c r="D7" s="292"/>
      <c r="E7" s="292"/>
      <c r="F7" s="112">
        <f>-7.2-1430-89.5-1945.46</f>
        <v>-3472.16</v>
      </c>
      <c r="G7" s="112">
        <f>4000+5000</f>
        <v>9000</v>
      </c>
      <c r="H7" s="112">
        <f t="shared" si="1"/>
        <v>14054.4</v>
      </c>
      <c r="I7" s="302"/>
      <c r="J7" s="112">
        <v>2095</v>
      </c>
      <c r="K7" s="112">
        <v>2.74</v>
      </c>
      <c r="L7" s="112">
        <v>3775.58</v>
      </c>
      <c r="M7" s="112">
        <f>-4000-5000</f>
        <v>-9000</v>
      </c>
      <c r="N7" s="112">
        <f t="shared" si="2"/>
        <v>70610.02</v>
      </c>
      <c r="O7" s="294"/>
      <c r="P7" s="175">
        <f t="shared" si="0"/>
        <v>84664.42</v>
      </c>
      <c r="R7" s="112">
        <v>4657.3599999999997</v>
      </c>
      <c r="S7" s="112">
        <v>2405.36</v>
      </c>
      <c r="T7" s="112">
        <v>-2251.9999999999995</v>
      </c>
    </row>
    <row r="8" spans="1:20" s="111" customFormat="1" outlineLevel="2" x14ac:dyDescent="0.3">
      <c r="A8" s="302" t="s">
        <v>147</v>
      </c>
      <c r="B8" s="304" t="s">
        <v>150</v>
      </c>
      <c r="C8" s="112">
        <v>1746.25</v>
      </c>
      <c r="D8" s="292"/>
      <c r="E8" s="292"/>
      <c r="F8" s="112">
        <f>-3301-1746.25-707.47-2105.98</f>
        <v>-7860.7000000000007</v>
      </c>
      <c r="G8" s="112">
        <f>5000</f>
        <v>5000</v>
      </c>
      <c r="H8" s="112">
        <f t="shared" si="1"/>
        <v>12939.949999999999</v>
      </c>
      <c r="I8" s="302"/>
      <c r="J8" s="112">
        <v>5663</v>
      </c>
      <c r="K8" s="112">
        <v>3.09</v>
      </c>
      <c r="L8" s="112">
        <v>0</v>
      </c>
      <c r="M8" s="112">
        <f>-5000</f>
        <v>-5000</v>
      </c>
      <c r="N8" s="112">
        <f t="shared" si="2"/>
        <v>71276.11</v>
      </c>
      <c r="O8" s="294"/>
      <c r="P8" s="175">
        <f t="shared" si="0"/>
        <v>84216.06</v>
      </c>
      <c r="R8" s="112">
        <v>7862.63</v>
      </c>
      <c r="S8" s="112">
        <v>10021.629999999999</v>
      </c>
      <c r="T8" s="112">
        <v>2158.9999999999991</v>
      </c>
    </row>
    <row r="9" spans="1:20" s="111" customFormat="1" outlineLevel="2" x14ac:dyDescent="0.3">
      <c r="A9" s="302" t="s">
        <v>147</v>
      </c>
      <c r="B9" s="303" t="s">
        <v>151</v>
      </c>
      <c r="C9" s="112">
        <v>0</v>
      </c>
      <c r="D9" s="292"/>
      <c r="E9" s="292"/>
      <c r="F9" s="112">
        <f>-1746.25-825-2567.23</f>
        <v>-5138.4799999999996</v>
      </c>
      <c r="G9" s="112">
        <v>0</v>
      </c>
      <c r="H9" s="112">
        <f t="shared" si="1"/>
        <v>7801.4699999999993</v>
      </c>
      <c r="I9" s="302"/>
      <c r="J9" s="112">
        <v>3395</v>
      </c>
      <c r="K9" s="112">
        <v>3</v>
      </c>
      <c r="L9" s="112">
        <v>0</v>
      </c>
      <c r="M9" s="112">
        <v>0</v>
      </c>
      <c r="N9" s="112">
        <f t="shared" si="2"/>
        <v>74674.11</v>
      </c>
      <c r="O9" s="294"/>
      <c r="P9" s="175">
        <f t="shared" si="0"/>
        <v>82475.58</v>
      </c>
      <c r="R9" s="112">
        <v>4503.43</v>
      </c>
      <c r="S9" s="112">
        <v>3517.43</v>
      </c>
      <c r="T9" s="112">
        <v>-986.00000000000045</v>
      </c>
    </row>
    <row r="10" spans="1:20" s="111" customFormat="1" outlineLevel="2" x14ac:dyDescent="0.3">
      <c r="A10" s="302" t="s">
        <v>147</v>
      </c>
      <c r="B10" s="304" t="s">
        <v>152</v>
      </c>
      <c r="C10" s="112">
        <v>0</v>
      </c>
      <c r="D10" s="292"/>
      <c r="E10" s="292"/>
      <c r="F10" s="112">
        <f>-1198.33-3028.07-119.5-2768.82</f>
        <v>-7114.7199999999993</v>
      </c>
      <c r="G10" s="112">
        <f>5000</f>
        <v>5000</v>
      </c>
      <c r="H10" s="112">
        <f t="shared" si="1"/>
        <v>5686.75</v>
      </c>
      <c r="I10" s="302"/>
      <c r="J10" s="112">
        <v>6205.5</v>
      </c>
      <c r="K10" s="112">
        <v>3.13</v>
      </c>
      <c r="L10" s="112">
        <v>0</v>
      </c>
      <c r="M10" s="112">
        <v>-5000</v>
      </c>
      <c r="N10" s="112">
        <f t="shared" si="2"/>
        <v>75882.740000000005</v>
      </c>
      <c r="O10" s="294"/>
      <c r="P10" s="175">
        <f t="shared" si="0"/>
        <v>81569.490000000005</v>
      </c>
      <c r="R10" s="112">
        <v>9669.23</v>
      </c>
      <c r="S10" s="112">
        <v>12420.23</v>
      </c>
      <c r="T10" s="112">
        <v>2751</v>
      </c>
    </row>
    <row r="11" spans="1:20" s="111" customFormat="1" outlineLevel="2" x14ac:dyDescent="0.3">
      <c r="A11" s="302" t="s">
        <v>147</v>
      </c>
      <c r="B11" s="304" t="s">
        <v>153</v>
      </c>
      <c r="C11" s="112">
        <v>0</v>
      </c>
      <c r="D11" s="292"/>
      <c r="E11" s="292"/>
      <c r="F11" s="112">
        <f>-2819.7</f>
        <v>-2819.7</v>
      </c>
      <c r="G11" s="112">
        <f>5000+5000</f>
        <v>10000</v>
      </c>
      <c r="H11" s="112">
        <f t="shared" si="1"/>
        <v>12867.05</v>
      </c>
      <c r="I11" s="302"/>
      <c r="J11" s="112">
        <v>6085</v>
      </c>
      <c r="K11" s="112">
        <v>3.08</v>
      </c>
      <c r="L11" s="112">
        <v>0</v>
      </c>
      <c r="M11" s="112">
        <f>-5000-5000</f>
        <v>-10000</v>
      </c>
      <c r="N11" s="112">
        <f t="shared" si="2"/>
        <v>71970.820000000007</v>
      </c>
      <c r="O11" s="294"/>
      <c r="P11" s="175">
        <f t="shared" si="0"/>
        <v>84837.87000000001</v>
      </c>
      <c r="R11" s="112">
        <v>2900.78</v>
      </c>
      <c r="S11" s="112">
        <v>1126.78</v>
      </c>
      <c r="T11" s="112">
        <v>-1774.0000000000002</v>
      </c>
    </row>
    <row r="12" spans="1:20" s="111" customFormat="1" outlineLevel="2" x14ac:dyDescent="0.3">
      <c r="A12" s="302" t="s">
        <v>147</v>
      </c>
      <c r="B12" s="303" t="s">
        <v>154</v>
      </c>
      <c r="C12" s="112">
        <v>0</v>
      </c>
      <c r="D12" s="292"/>
      <c r="E12" s="292"/>
      <c r="F12" s="112">
        <f>-4017.58</f>
        <v>-4017.58</v>
      </c>
      <c r="G12" s="112">
        <v>0</v>
      </c>
      <c r="H12" s="112">
        <f t="shared" si="1"/>
        <v>8849.4699999999993</v>
      </c>
      <c r="I12" s="302"/>
      <c r="J12" s="112">
        <v>8360</v>
      </c>
      <c r="K12" s="112">
        <v>3.27</v>
      </c>
      <c r="L12" s="112">
        <v>0</v>
      </c>
      <c r="M12" s="112"/>
      <c r="N12" s="112">
        <f t="shared" si="2"/>
        <v>80334.090000000011</v>
      </c>
      <c r="O12" s="294"/>
      <c r="P12" s="175">
        <f t="shared" si="0"/>
        <v>89183.560000000012</v>
      </c>
      <c r="R12" s="112"/>
      <c r="S12" s="112"/>
      <c r="T12" s="112"/>
    </row>
    <row r="13" spans="1:20" s="111" customFormat="1" outlineLevel="2" x14ac:dyDescent="0.3">
      <c r="A13" s="302" t="s">
        <v>147</v>
      </c>
      <c r="B13" s="304" t="s">
        <v>155</v>
      </c>
      <c r="C13" s="112">
        <v>0</v>
      </c>
      <c r="D13" s="292"/>
      <c r="E13" s="292"/>
      <c r="F13" s="112">
        <f>-3143.57</f>
        <v>-3143.57</v>
      </c>
      <c r="G13" s="112">
        <f>5000</f>
        <v>5000</v>
      </c>
      <c r="H13" s="112">
        <f t="shared" si="1"/>
        <v>10705.9</v>
      </c>
      <c r="I13" s="302"/>
      <c r="J13" s="112">
        <v>1540</v>
      </c>
      <c r="K13" s="112">
        <v>3.4</v>
      </c>
      <c r="L13" s="112">
        <v>0</v>
      </c>
      <c r="M13" s="112">
        <v>-5000</v>
      </c>
      <c r="N13" s="112">
        <f t="shared" si="2"/>
        <v>76877.490000000005</v>
      </c>
      <c r="O13" s="294"/>
      <c r="P13" s="175">
        <f t="shared" si="0"/>
        <v>87583.39</v>
      </c>
      <c r="R13" s="112"/>
      <c r="S13" s="112"/>
      <c r="T13" s="112"/>
    </row>
    <row r="14" spans="1:20" s="111" customFormat="1" ht="18" outlineLevel="2" thickBot="1" x14ac:dyDescent="0.35">
      <c r="A14" s="302" t="s">
        <v>147</v>
      </c>
      <c r="B14" s="304" t="s">
        <v>156</v>
      </c>
      <c r="C14" s="112">
        <v>0</v>
      </c>
      <c r="D14" s="292"/>
      <c r="E14" s="292"/>
      <c r="F14" s="112">
        <f>-5867.28</f>
        <v>-5867.28</v>
      </c>
      <c r="G14" s="112">
        <v>0</v>
      </c>
      <c r="H14" s="112">
        <f t="shared" si="1"/>
        <v>4838.62</v>
      </c>
      <c r="I14" s="302"/>
      <c r="J14" s="112">
        <v>7099</v>
      </c>
      <c r="K14" s="112">
        <v>3.33</v>
      </c>
      <c r="L14" s="112">
        <f>-1500</f>
        <v>-1500</v>
      </c>
      <c r="M14" s="112">
        <v>0</v>
      </c>
      <c r="N14" s="112">
        <f t="shared" si="2"/>
        <v>82479.820000000007</v>
      </c>
      <c r="O14" s="294"/>
      <c r="P14" s="175">
        <f t="shared" si="0"/>
        <v>87318.44</v>
      </c>
      <c r="R14" s="112"/>
      <c r="S14" s="112"/>
      <c r="T14" s="112"/>
    </row>
    <row r="15" spans="1:20" s="111" customFormat="1" ht="18.600000000000001" outlineLevel="1" thickTop="1" thickBot="1" x14ac:dyDescent="0.35">
      <c r="A15" s="310" t="s">
        <v>278</v>
      </c>
      <c r="B15" s="311"/>
      <c r="C15" s="312">
        <f t="shared" ref="C15:H15" si="3">SUBTOTAL(9,C3:C14)</f>
        <v>1746.31</v>
      </c>
      <c r="D15" s="312">
        <f t="shared" si="3"/>
        <v>0</v>
      </c>
      <c r="E15" s="312">
        <f t="shared" si="3"/>
        <v>0</v>
      </c>
      <c r="F15" s="312">
        <f t="shared" si="3"/>
        <v>-42907.689999999995</v>
      </c>
      <c r="G15" s="312">
        <f t="shared" si="3"/>
        <v>45900</v>
      </c>
      <c r="H15" s="312"/>
      <c r="I15" s="312">
        <f t="shared" ref="I15:T15" si="4">SUBTOTAL(9,I3:I14)</f>
        <v>0</v>
      </c>
      <c r="J15" s="312">
        <f t="shared" si="4"/>
        <v>57297.5</v>
      </c>
      <c r="K15" s="312">
        <f t="shared" si="4"/>
        <v>34.799999999999997</v>
      </c>
      <c r="L15" s="312">
        <f t="shared" si="4"/>
        <v>71042.52</v>
      </c>
      <c r="M15" s="312">
        <f t="shared" si="4"/>
        <v>-45900</v>
      </c>
      <c r="N15" s="312"/>
      <c r="O15" s="312">
        <f t="shared" si="4"/>
        <v>0</v>
      </c>
      <c r="P15" s="312"/>
      <c r="Q15" s="312"/>
      <c r="R15" s="312">
        <f t="shared" si="4"/>
        <v>57081.479999999996</v>
      </c>
      <c r="S15" s="312">
        <f t="shared" si="4"/>
        <v>56130.479999999996</v>
      </c>
      <c r="T15" s="313">
        <f t="shared" si="4"/>
        <v>-950.99999999999432</v>
      </c>
    </row>
    <row r="16" spans="1:20" ht="18" outlineLevel="2" thickTop="1" x14ac:dyDescent="0.3">
      <c r="A16" s="118" t="s">
        <v>134</v>
      </c>
      <c r="B16" s="297" t="s">
        <v>127</v>
      </c>
      <c r="C16" s="48">
        <v>0</v>
      </c>
      <c r="D16" s="293"/>
      <c r="E16" s="293"/>
      <c r="F16" s="48">
        <f>-3253.67</f>
        <v>-3253.67</v>
      </c>
      <c r="G16" s="48">
        <f>5000+5000</f>
        <v>10000</v>
      </c>
      <c r="H16" s="112">
        <f>H14+C16+F16+G16</f>
        <v>11584.95</v>
      </c>
      <c r="I16" s="298"/>
      <c r="J16" s="48">
        <f>110+55+220+55+55+110+110+110+110+110+145+110+55+110+55+55+55+110</f>
        <v>1740</v>
      </c>
      <c r="K16" s="48">
        <f>3.31</f>
        <v>3.31</v>
      </c>
      <c r="L16" s="48">
        <v>0</v>
      </c>
      <c r="M16" s="48">
        <f>-5000-5000</f>
        <v>-10000</v>
      </c>
      <c r="N16" s="112">
        <f>N14+J16+K16+L16+M16</f>
        <v>74223.13</v>
      </c>
      <c r="O16" s="298"/>
      <c r="P16" s="175">
        <f t="shared" si="0"/>
        <v>85808.08</v>
      </c>
    </row>
    <row r="17" spans="1:20" outlineLevel="2" x14ac:dyDescent="0.3">
      <c r="A17" s="118" t="s">
        <v>134</v>
      </c>
      <c r="B17" s="118" t="s">
        <v>128</v>
      </c>
      <c r="C17" s="48">
        <v>37.340000000000003</v>
      </c>
      <c r="D17" s="293"/>
      <c r="E17" s="293"/>
      <c r="F17" s="48">
        <f>-7425-3526.14</f>
        <v>-10951.14</v>
      </c>
      <c r="G17" s="48">
        <v>5000</v>
      </c>
      <c r="H17" s="48">
        <f t="shared" ref="H17:H23" si="5">H16+C17+F17+G17</f>
        <v>5671.1500000000015</v>
      </c>
      <c r="I17" s="298"/>
      <c r="J17" s="48">
        <f>145+145+110+110+282+145+110+145+145+110+145+55+110+110+110+55+110+110+55+55+110+35+220+110+110+110+110+55+110+110+55+110+145</f>
        <v>3752</v>
      </c>
      <c r="K17" s="48">
        <v>6.25</v>
      </c>
      <c r="L17" s="48">
        <v>0</v>
      </c>
      <c r="M17" s="48">
        <f>-5000</f>
        <v>-5000</v>
      </c>
      <c r="N17" s="48">
        <f>N16+J17+K17+L17+M17</f>
        <v>72981.38</v>
      </c>
      <c r="O17" s="298"/>
      <c r="P17" s="175">
        <f t="shared" si="0"/>
        <v>78652.53</v>
      </c>
    </row>
    <row r="18" spans="1:20" outlineLevel="2" x14ac:dyDescent="0.3">
      <c r="A18" s="118" t="s">
        <v>134</v>
      </c>
      <c r="B18" s="118" t="s">
        <v>133</v>
      </c>
      <c r="C18" s="48">
        <v>0</v>
      </c>
      <c r="D18" s="293"/>
      <c r="E18" s="293"/>
      <c r="F18" s="48">
        <f>-5653.58</f>
        <v>-5653.58</v>
      </c>
      <c r="G18" s="48">
        <f>5000+5000</f>
        <v>10000</v>
      </c>
      <c r="H18" s="48">
        <f t="shared" si="5"/>
        <v>10017.570000000002</v>
      </c>
      <c r="I18" s="298"/>
      <c r="J18" s="48">
        <f>5290</f>
        <v>5290</v>
      </c>
      <c r="K18" s="48">
        <v>6.11</v>
      </c>
      <c r="L18" s="48">
        <v>0</v>
      </c>
      <c r="M18" s="48">
        <f>-5000-5000</f>
        <v>-10000</v>
      </c>
      <c r="N18" s="48">
        <f t="shared" ref="N18:N23" si="6">N17+J18+K18+L18+M18</f>
        <v>68277.490000000005</v>
      </c>
      <c r="O18" s="298"/>
      <c r="P18" s="175">
        <f t="shared" si="0"/>
        <v>78295.060000000012</v>
      </c>
    </row>
    <row r="19" spans="1:20" outlineLevel="2" x14ac:dyDescent="0.3">
      <c r="A19" s="118" t="s">
        <v>134</v>
      </c>
      <c r="B19" s="118" t="s">
        <v>136</v>
      </c>
      <c r="C19" s="48">
        <v>0</v>
      </c>
      <c r="D19" s="293"/>
      <c r="E19" s="293"/>
      <c r="F19" s="48">
        <f>-8376.66</f>
        <v>-8376.66</v>
      </c>
      <c r="G19" s="48">
        <v>5000</v>
      </c>
      <c r="H19" s="48">
        <f t="shared" si="5"/>
        <v>6640.9100000000017</v>
      </c>
      <c r="I19" s="298"/>
      <c r="J19" s="48">
        <v>3155</v>
      </c>
      <c r="K19" s="48">
        <v>5.66</v>
      </c>
      <c r="L19" s="48">
        <v>0</v>
      </c>
      <c r="M19" s="48">
        <f>-5000</f>
        <v>-5000</v>
      </c>
      <c r="N19" s="48">
        <f t="shared" si="6"/>
        <v>66438.150000000009</v>
      </c>
      <c r="O19" s="298"/>
      <c r="P19" s="175">
        <f t="shared" si="0"/>
        <v>73079.060000000012</v>
      </c>
    </row>
    <row r="20" spans="1:20" outlineLevel="2" x14ac:dyDescent="0.3">
      <c r="A20" s="118" t="s">
        <v>134</v>
      </c>
      <c r="B20" s="118" t="s">
        <v>135</v>
      </c>
      <c r="C20" s="48">
        <v>0</v>
      </c>
      <c r="D20" s="293"/>
      <c r="E20" s="293"/>
      <c r="F20" s="48">
        <f>-5405.76</f>
        <v>-5405.76</v>
      </c>
      <c r="G20" s="48">
        <v>5000</v>
      </c>
      <c r="H20" s="48">
        <f t="shared" si="5"/>
        <v>6235.1500000000015</v>
      </c>
      <c r="I20" s="298"/>
      <c r="J20" s="48">
        <v>10045</v>
      </c>
      <c r="K20" s="48">
        <v>5.43</v>
      </c>
      <c r="L20" s="48">
        <v>0</v>
      </c>
      <c r="M20" s="48">
        <f>-5000</f>
        <v>-5000</v>
      </c>
      <c r="N20" s="48">
        <f t="shared" si="6"/>
        <v>71488.58</v>
      </c>
      <c r="O20" s="298"/>
      <c r="P20" s="175">
        <f t="shared" si="0"/>
        <v>77723.73000000001</v>
      </c>
    </row>
    <row r="21" spans="1:20" outlineLevel="2" x14ac:dyDescent="0.3">
      <c r="A21" s="118" t="s">
        <v>134</v>
      </c>
      <c r="B21" s="118" t="s">
        <v>137</v>
      </c>
      <c r="C21" s="48">
        <v>66</v>
      </c>
      <c r="D21" s="293"/>
      <c r="E21" s="293"/>
      <c r="F21" s="48">
        <f>-8067.81-41.16-155</f>
        <v>-8263.9700000000012</v>
      </c>
      <c r="G21" s="48">
        <f>5000+5000</f>
        <v>10000</v>
      </c>
      <c r="H21" s="48">
        <f t="shared" si="5"/>
        <v>8037.18</v>
      </c>
      <c r="I21" s="298"/>
      <c r="J21" s="48">
        <v>8765</v>
      </c>
      <c r="K21" s="48">
        <v>5.85</v>
      </c>
      <c r="L21" s="48">
        <f>-150-15</f>
        <v>-165</v>
      </c>
      <c r="M21" s="48">
        <f>-5000-5000</f>
        <v>-10000</v>
      </c>
      <c r="N21" s="48">
        <f t="shared" si="6"/>
        <v>70094.430000000008</v>
      </c>
      <c r="O21" s="298"/>
      <c r="P21" s="175">
        <f t="shared" si="0"/>
        <v>78131.610000000015</v>
      </c>
    </row>
    <row r="22" spans="1:20" outlineLevel="2" x14ac:dyDescent="0.3">
      <c r="A22" s="118" t="s">
        <v>134</v>
      </c>
      <c r="B22" s="118" t="s">
        <v>138</v>
      </c>
      <c r="C22" s="48">
        <f>300+75+110</f>
        <v>485</v>
      </c>
      <c r="D22" s="293"/>
      <c r="E22" s="293"/>
      <c r="F22" s="48">
        <f>-2502.61</f>
        <v>-2502.61</v>
      </c>
      <c r="G22" s="48">
        <f>5000</f>
        <v>5000</v>
      </c>
      <c r="H22" s="48">
        <f t="shared" si="5"/>
        <v>11019.57</v>
      </c>
      <c r="I22" s="298"/>
      <c r="J22" s="48">
        <v>1985</v>
      </c>
      <c r="K22" s="48">
        <v>5.51</v>
      </c>
      <c r="L22" s="48">
        <v>0</v>
      </c>
      <c r="M22" s="48">
        <f>-5000</f>
        <v>-5000</v>
      </c>
      <c r="N22" s="48">
        <f t="shared" si="6"/>
        <v>67084.94</v>
      </c>
      <c r="O22" s="298"/>
      <c r="P22" s="175">
        <f t="shared" si="0"/>
        <v>78104.510000000009</v>
      </c>
    </row>
    <row r="23" spans="1:20" outlineLevel="2" x14ac:dyDescent="0.3">
      <c r="A23" s="118" t="s">
        <v>134</v>
      </c>
      <c r="B23" s="118" t="s">
        <v>139</v>
      </c>
      <c r="C23" s="48">
        <v>0</v>
      </c>
      <c r="D23" s="293"/>
      <c r="E23" s="293"/>
      <c r="F23" s="48">
        <f>-4853.42</f>
        <v>-4853.42</v>
      </c>
      <c r="G23" s="48">
        <v>5000</v>
      </c>
      <c r="H23" s="48">
        <f t="shared" si="5"/>
        <v>11166.15</v>
      </c>
      <c r="I23" s="298"/>
      <c r="J23" s="48">
        <v>10839</v>
      </c>
      <c r="K23" s="48">
        <v>6.17</v>
      </c>
      <c r="L23" s="48">
        <v>0</v>
      </c>
      <c r="M23" s="48">
        <f>-5000</f>
        <v>-5000</v>
      </c>
      <c r="N23" s="48">
        <f t="shared" si="6"/>
        <v>72930.11</v>
      </c>
      <c r="O23" s="298"/>
      <c r="P23" s="175">
        <f t="shared" si="0"/>
        <v>84096.26</v>
      </c>
    </row>
    <row r="24" spans="1:20" outlineLevel="2" x14ac:dyDescent="0.3">
      <c r="A24" s="118" t="s">
        <v>134</v>
      </c>
      <c r="B24" s="118" t="s">
        <v>140</v>
      </c>
      <c r="C24" s="48">
        <v>0</v>
      </c>
      <c r="D24" s="293"/>
      <c r="E24" s="293"/>
      <c r="F24" s="48">
        <v>-3495.95</v>
      </c>
      <c r="G24" s="48">
        <v>0</v>
      </c>
      <c r="H24" s="48">
        <v>7670.2</v>
      </c>
      <c r="I24" s="298"/>
      <c r="J24" s="48">
        <v>1945</v>
      </c>
      <c r="K24" s="48">
        <v>6.07</v>
      </c>
      <c r="L24" s="48">
        <v>0</v>
      </c>
      <c r="M24" s="48">
        <v>0</v>
      </c>
      <c r="N24" s="48">
        <v>74881.179999999993</v>
      </c>
      <c r="O24" s="298"/>
      <c r="P24" s="175">
        <f t="shared" si="0"/>
        <v>82551.37999999999</v>
      </c>
    </row>
    <row r="25" spans="1:20" outlineLevel="2" x14ac:dyDescent="0.3">
      <c r="A25" s="118" t="s">
        <v>134</v>
      </c>
      <c r="B25" s="118" t="s">
        <v>141</v>
      </c>
      <c r="C25" s="48">
        <v>0</v>
      </c>
      <c r="D25" s="293"/>
      <c r="E25" s="293"/>
      <c r="F25" s="48">
        <f>-4479.65</f>
        <v>-4479.6499999999996</v>
      </c>
      <c r="G25" s="48">
        <v>5000</v>
      </c>
      <c r="H25" s="48">
        <v>8190.55</v>
      </c>
      <c r="I25" s="298"/>
      <c r="J25" s="48">
        <v>7675</v>
      </c>
      <c r="K25" s="48">
        <v>6.51</v>
      </c>
      <c r="L25" s="48">
        <v>0</v>
      </c>
      <c r="M25" s="48">
        <v>-5000</v>
      </c>
      <c r="N25" s="48">
        <v>77562.69</v>
      </c>
      <c r="O25" s="298"/>
      <c r="P25" s="175">
        <f t="shared" si="0"/>
        <v>85753.24</v>
      </c>
    </row>
    <row r="26" spans="1:20" outlineLevel="2" x14ac:dyDescent="0.3">
      <c r="A26" s="118" t="s">
        <v>134</v>
      </c>
      <c r="B26" s="118" t="s">
        <v>142</v>
      </c>
      <c r="C26" s="48">
        <v>0</v>
      </c>
      <c r="D26" s="293"/>
      <c r="E26" s="293"/>
      <c r="F26" s="48">
        <v>-4826.42</v>
      </c>
      <c r="G26" s="48">
        <v>10000</v>
      </c>
      <c r="H26" s="48">
        <v>13364.13</v>
      </c>
      <c r="I26" s="298"/>
      <c r="J26" s="48">
        <v>5905</v>
      </c>
      <c r="K26" s="48">
        <v>6.57</v>
      </c>
      <c r="L26" s="48">
        <v>0</v>
      </c>
      <c r="M26" s="48">
        <v>-10000</v>
      </c>
      <c r="N26" s="48">
        <v>73474.259999999995</v>
      </c>
      <c r="O26" s="298"/>
      <c r="P26" s="175">
        <f t="shared" si="0"/>
        <v>86838.39</v>
      </c>
    </row>
    <row r="27" spans="1:20" ht="18" outlineLevel="2" thickBot="1" x14ac:dyDescent="0.35">
      <c r="A27" s="118" t="s">
        <v>134</v>
      </c>
      <c r="B27" s="118" t="s">
        <v>143</v>
      </c>
      <c r="C27" s="48">
        <v>0</v>
      </c>
      <c r="D27" s="293"/>
      <c r="E27" s="293"/>
      <c r="F27" s="48">
        <v>-6194.91</v>
      </c>
      <c r="G27" s="48">
        <v>5000</v>
      </c>
      <c r="H27" s="48">
        <v>12169.22</v>
      </c>
      <c r="I27" s="298"/>
      <c r="J27" s="48">
        <f>6873.23-K27</f>
        <v>6867</v>
      </c>
      <c r="K27" s="48">
        <v>6.23</v>
      </c>
      <c r="L27" s="48">
        <v>0</v>
      </c>
      <c r="M27" s="48">
        <v>-5000</v>
      </c>
      <c r="N27" s="48">
        <v>75347.490000000005</v>
      </c>
      <c r="O27" s="298"/>
      <c r="P27" s="175">
        <f t="shared" si="0"/>
        <v>87516.71</v>
      </c>
    </row>
    <row r="28" spans="1:20" s="35" customFormat="1" ht="18.600000000000001" outlineLevel="1" thickTop="1" thickBot="1" x14ac:dyDescent="0.35">
      <c r="A28" s="306" t="s">
        <v>279</v>
      </c>
      <c r="B28" s="307"/>
      <c r="C28" s="308">
        <f t="shared" ref="C28:H28" si="7">SUBTOTAL(9,C16:C27)</f>
        <v>588.34</v>
      </c>
      <c r="D28" s="308">
        <f t="shared" si="7"/>
        <v>0</v>
      </c>
      <c r="E28" s="308">
        <f t="shared" si="7"/>
        <v>0</v>
      </c>
      <c r="F28" s="308">
        <f t="shared" si="7"/>
        <v>-68257.739999999991</v>
      </c>
      <c r="G28" s="308">
        <f t="shared" si="7"/>
        <v>75000</v>
      </c>
      <c r="H28" s="308"/>
      <c r="I28" s="308"/>
      <c r="J28" s="308">
        <f t="shared" ref="J28:T28" si="8">SUBTOTAL(9,J16:J27)</f>
        <v>67963</v>
      </c>
      <c r="K28" s="308">
        <f t="shared" si="8"/>
        <v>69.67</v>
      </c>
      <c r="L28" s="308">
        <f t="shared" si="8"/>
        <v>-165</v>
      </c>
      <c r="M28" s="308">
        <f t="shared" si="8"/>
        <v>-75000</v>
      </c>
      <c r="N28" s="308"/>
      <c r="O28" s="308">
        <f t="shared" si="8"/>
        <v>0</v>
      </c>
      <c r="P28" s="308"/>
      <c r="Q28" s="308"/>
      <c r="R28" s="308">
        <f t="shared" si="8"/>
        <v>0</v>
      </c>
      <c r="S28" s="308">
        <f t="shared" si="8"/>
        <v>0</v>
      </c>
      <c r="T28" s="309">
        <f t="shared" si="8"/>
        <v>0</v>
      </c>
    </row>
    <row r="29" spans="1:20" ht="18" outlineLevel="2" thickTop="1" x14ac:dyDescent="0.3">
      <c r="A29" s="128" t="s">
        <v>171</v>
      </c>
      <c r="B29" s="128" t="s">
        <v>172</v>
      </c>
      <c r="C29" s="48">
        <v>0</v>
      </c>
      <c r="D29" s="293"/>
      <c r="E29" s="293"/>
      <c r="F29" s="48">
        <f>-2350.54</f>
        <v>-2350.54</v>
      </c>
      <c r="G29" s="48">
        <v>5000</v>
      </c>
      <c r="H29" s="48">
        <v>14818.68</v>
      </c>
      <c r="I29" s="299"/>
      <c r="J29" s="48">
        <f>2464.3-K29</f>
        <v>2458</v>
      </c>
      <c r="K29" s="48">
        <v>6.3</v>
      </c>
      <c r="L29" s="48">
        <v>0</v>
      </c>
      <c r="M29" s="48">
        <v>-5000</v>
      </c>
      <c r="N29" s="48">
        <v>72811.789999999994</v>
      </c>
      <c r="O29" s="299"/>
      <c r="P29" s="175">
        <f t="shared" si="0"/>
        <v>87630.47</v>
      </c>
      <c r="R29" s="48">
        <v>2464.3000000000002</v>
      </c>
      <c r="S29" s="48">
        <v>1905.3</v>
      </c>
      <c r="T29" s="48">
        <f>R29-S29</f>
        <v>559.00000000000023</v>
      </c>
    </row>
    <row r="30" spans="1:20" outlineLevel="2" x14ac:dyDescent="0.3">
      <c r="A30" s="158" t="s">
        <v>171</v>
      </c>
      <c r="B30" s="158" t="s">
        <v>173</v>
      </c>
      <c r="C30" s="48">
        <v>0</v>
      </c>
      <c r="D30" s="293"/>
      <c r="E30" s="293"/>
      <c r="F30" s="48">
        <f>-1080.95-152.62-261.74-1360-113.75-2000-1365-893.75</f>
        <v>-7227.81</v>
      </c>
      <c r="G30" s="48">
        <v>0</v>
      </c>
      <c r="H30" s="48">
        <v>7590.87</v>
      </c>
      <c r="I30" s="299"/>
      <c r="J30" s="48">
        <f>81227.08-72813.19-1.4</f>
        <v>8412.49</v>
      </c>
      <c r="K30" s="48">
        <f>1.4+4.89</f>
        <v>6.2899999999999991</v>
      </c>
      <c r="L30" s="48">
        <f>-183</f>
        <v>-183</v>
      </c>
      <c r="M30" s="48">
        <v>0</v>
      </c>
      <c r="N30" s="48">
        <v>81044.08</v>
      </c>
      <c r="O30" s="299"/>
      <c r="P30" s="175">
        <f t="shared" si="0"/>
        <v>88634.95</v>
      </c>
      <c r="R30" s="48">
        <v>8418.7800000000007</v>
      </c>
      <c r="S30" s="48">
        <v>9257.2900000000009</v>
      </c>
      <c r="T30" s="48">
        <f t="shared" ref="T30:T46" si="9">R30-S30</f>
        <v>-838.51000000000022</v>
      </c>
    </row>
    <row r="31" spans="1:20" outlineLevel="2" x14ac:dyDescent="0.3">
      <c r="A31" s="128" t="s">
        <v>171</v>
      </c>
      <c r="B31" s="128" t="s">
        <v>174</v>
      </c>
      <c r="C31" s="48">
        <v>9</v>
      </c>
      <c r="D31" s="293"/>
      <c r="E31" s="293"/>
      <c r="F31" s="48">
        <f>-75-35-845-22.36</f>
        <v>-977.36</v>
      </c>
      <c r="G31" s="48">
        <v>5000</v>
      </c>
      <c r="H31" s="48">
        <f t="shared" ref="H31:H39" si="10">H30+C31+F31+G31</f>
        <v>11622.51</v>
      </c>
      <c r="I31" s="299"/>
      <c r="J31" s="48">
        <f>4210.66-K31</f>
        <v>4204</v>
      </c>
      <c r="K31" s="48">
        <v>6.66</v>
      </c>
      <c r="L31" s="48">
        <v>0</v>
      </c>
      <c r="M31" s="48">
        <v>-5000</v>
      </c>
      <c r="N31" s="48">
        <f t="shared" ref="N31:N50" si="11">N30+J31+K31+L31+M31</f>
        <v>80254.740000000005</v>
      </c>
      <c r="O31" s="299"/>
      <c r="P31" s="175">
        <f t="shared" si="0"/>
        <v>91877.25</v>
      </c>
      <c r="R31" s="48">
        <v>4210.66</v>
      </c>
      <c r="S31" s="48">
        <v>2918.66</v>
      </c>
      <c r="T31" s="48">
        <f t="shared" si="9"/>
        <v>1292</v>
      </c>
    </row>
    <row r="32" spans="1:20" outlineLevel="2" x14ac:dyDescent="0.3">
      <c r="A32" s="128" t="s">
        <v>171</v>
      </c>
      <c r="B32" s="128" t="s">
        <v>175</v>
      </c>
      <c r="C32" s="48">
        <v>0</v>
      </c>
      <c r="D32" s="293"/>
      <c r="E32" s="293"/>
      <c r="F32" s="48">
        <f>-13624.88</f>
        <v>-13624.88</v>
      </c>
      <c r="G32" s="48">
        <v>10000</v>
      </c>
      <c r="H32" s="48">
        <f t="shared" si="10"/>
        <v>7997.630000000001</v>
      </c>
      <c r="I32" s="299"/>
      <c r="J32" s="48">
        <f>12397.8-K32</f>
        <v>12391</v>
      </c>
      <c r="K32" s="48">
        <v>6.8</v>
      </c>
      <c r="L32" s="48">
        <v>0</v>
      </c>
      <c r="M32" s="48">
        <v>-10000</v>
      </c>
      <c r="N32" s="48">
        <f t="shared" si="11"/>
        <v>82652.540000000008</v>
      </c>
      <c r="O32" s="299"/>
      <c r="P32" s="175">
        <f t="shared" si="0"/>
        <v>90650.170000000013</v>
      </c>
      <c r="R32" s="48">
        <v>12397.8</v>
      </c>
      <c r="S32" s="48">
        <v>12743.8</v>
      </c>
      <c r="T32" s="48">
        <f t="shared" si="9"/>
        <v>-346</v>
      </c>
    </row>
    <row r="33" spans="1:20" outlineLevel="2" x14ac:dyDescent="0.3">
      <c r="A33" s="128" t="s">
        <v>171</v>
      </c>
      <c r="B33" s="128" t="s">
        <v>176</v>
      </c>
      <c r="C33" s="48">
        <v>0</v>
      </c>
      <c r="D33" s="293"/>
      <c r="E33" s="293"/>
      <c r="F33" s="48">
        <v>-3680.88</v>
      </c>
      <c r="G33" s="48">
        <v>5000</v>
      </c>
      <c r="H33" s="48">
        <f t="shared" si="10"/>
        <v>9316.75</v>
      </c>
      <c r="I33" s="299"/>
      <c r="J33" s="48">
        <f>4657.36-K33</f>
        <v>4651</v>
      </c>
      <c r="K33" s="48">
        <v>6.36</v>
      </c>
      <c r="L33" s="48">
        <v>0</v>
      </c>
      <c r="M33" s="48">
        <v>-5000</v>
      </c>
      <c r="N33" s="48">
        <f t="shared" si="11"/>
        <v>82309.900000000009</v>
      </c>
      <c r="O33" s="299"/>
      <c r="P33" s="175">
        <f t="shared" si="0"/>
        <v>91626.650000000009</v>
      </c>
      <c r="R33" s="48">
        <v>4657.3599999999997</v>
      </c>
      <c r="S33" s="48">
        <v>2405.36</v>
      </c>
      <c r="T33" s="48">
        <f t="shared" si="9"/>
        <v>2251.9999999999995</v>
      </c>
    </row>
    <row r="34" spans="1:20" outlineLevel="2" x14ac:dyDescent="0.3">
      <c r="A34" s="128" t="s">
        <v>171</v>
      </c>
      <c r="B34" s="128" t="s">
        <v>177</v>
      </c>
      <c r="C34" s="48">
        <v>0</v>
      </c>
      <c r="D34" s="293"/>
      <c r="E34" s="293"/>
      <c r="F34" s="48">
        <v>-8308.1200000000008</v>
      </c>
      <c r="G34" s="48">
        <f>5000+5000</f>
        <v>10000</v>
      </c>
      <c r="H34" s="48">
        <f t="shared" si="10"/>
        <v>11008.63</v>
      </c>
      <c r="I34" s="299"/>
      <c r="J34" s="48">
        <f>7862.63-K34</f>
        <v>7856</v>
      </c>
      <c r="K34" s="48">
        <v>6.63</v>
      </c>
      <c r="L34" s="48">
        <f>-75-75-15-15-75-75</f>
        <v>-330</v>
      </c>
      <c r="M34" s="48">
        <f>-5000-5000</f>
        <v>-10000</v>
      </c>
      <c r="N34" s="48">
        <f t="shared" si="11"/>
        <v>79842.530000000013</v>
      </c>
      <c r="O34" s="299"/>
      <c r="P34" s="175">
        <f t="shared" si="0"/>
        <v>90851.160000000018</v>
      </c>
      <c r="R34" s="48">
        <v>7862.63</v>
      </c>
      <c r="S34" s="48">
        <v>10021.629999999999</v>
      </c>
      <c r="T34" s="48">
        <f t="shared" si="9"/>
        <v>-2158.9999999999991</v>
      </c>
    </row>
    <row r="35" spans="1:20" outlineLevel="2" x14ac:dyDescent="0.3">
      <c r="A35" s="128" t="s">
        <v>171</v>
      </c>
      <c r="B35" s="128" t="s">
        <v>178</v>
      </c>
      <c r="C35" s="48">
        <v>0</v>
      </c>
      <c r="D35" s="293"/>
      <c r="E35" s="293"/>
      <c r="F35" s="48">
        <v>-3019.51</v>
      </c>
      <c r="G35" s="48">
        <v>5000</v>
      </c>
      <c r="H35" s="48">
        <f t="shared" si="10"/>
        <v>12989.119999999999</v>
      </c>
      <c r="I35" s="299"/>
      <c r="J35" s="48">
        <f>4503.43-K35</f>
        <v>4497</v>
      </c>
      <c r="K35" s="48">
        <v>6.43</v>
      </c>
      <c r="L35" s="48"/>
      <c r="M35" s="48">
        <v>-5000</v>
      </c>
      <c r="N35" s="48">
        <f t="shared" si="11"/>
        <v>79345.960000000006</v>
      </c>
      <c r="O35" s="299"/>
      <c r="P35" s="175">
        <f t="shared" si="0"/>
        <v>92335.08</v>
      </c>
      <c r="R35" s="48">
        <v>4503.43</v>
      </c>
      <c r="S35" s="48">
        <v>3517.43</v>
      </c>
      <c r="T35" s="48">
        <f t="shared" si="9"/>
        <v>986.00000000000045</v>
      </c>
    </row>
    <row r="36" spans="1:20" outlineLevel="2" x14ac:dyDescent="0.3">
      <c r="A36" s="128" t="s">
        <v>171</v>
      </c>
      <c r="B36" s="128" t="s">
        <v>179</v>
      </c>
      <c r="C36" s="48">
        <v>111.5</v>
      </c>
      <c r="D36" s="293"/>
      <c r="E36" s="293"/>
      <c r="F36" s="48">
        <f>-3559.08</f>
        <v>-3559.08</v>
      </c>
      <c r="G36" s="48">
        <v>5000</v>
      </c>
      <c r="H36" s="48">
        <f t="shared" si="10"/>
        <v>14541.539999999999</v>
      </c>
      <c r="I36" s="299"/>
      <c r="J36" s="48">
        <f>9669.23-K36</f>
        <v>9662.5</v>
      </c>
      <c r="K36" s="48">
        <v>6.73</v>
      </c>
      <c r="L36" s="48"/>
      <c r="M36" s="48">
        <v>-5000</v>
      </c>
      <c r="N36" s="48">
        <f t="shared" si="11"/>
        <v>84015.19</v>
      </c>
      <c r="O36" s="299"/>
      <c r="P36" s="175">
        <f t="shared" si="0"/>
        <v>98556.73</v>
      </c>
      <c r="R36" s="48">
        <v>9669.23</v>
      </c>
      <c r="S36" s="48">
        <v>12420.23</v>
      </c>
      <c r="T36" s="48">
        <f t="shared" si="9"/>
        <v>-2751</v>
      </c>
    </row>
    <row r="37" spans="1:20" outlineLevel="2" x14ac:dyDescent="0.3">
      <c r="A37" s="128" t="s">
        <v>171</v>
      </c>
      <c r="B37" s="128" t="s">
        <v>180</v>
      </c>
      <c r="C37" s="48">
        <v>0</v>
      </c>
      <c r="D37" s="293"/>
      <c r="E37" s="293"/>
      <c r="F37" s="48">
        <v>-10166.81</v>
      </c>
      <c r="G37" s="48">
        <v>5000</v>
      </c>
      <c r="H37" s="48">
        <f t="shared" si="10"/>
        <v>9374.73</v>
      </c>
      <c r="I37" s="299"/>
      <c r="J37" s="48">
        <f>2900.78-K37</f>
        <v>2894</v>
      </c>
      <c r="K37" s="48">
        <v>6.78</v>
      </c>
      <c r="L37" s="48"/>
      <c r="M37" s="48">
        <v>-5000</v>
      </c>
      <c r="N37" s="48">
        <f t="shared" si="11"/>
        <v>81915.97</v>
      </c>
      <c r="O37" s="299"/>
      <c r="P37" s="175">
        <f t="shared" si="0"/>
        <v>91290.7</v>
      </c>
      <c r="R37" s="48">
        <v>2900.78</v>
      </c>
      <c r="S37" s="48">
        <v>1126.78</v>
      </c>
      <c r="T37" s="48">
        <f t="shared" si="9"/>
        <v>1774.0000000000002</v>
      </c>
    </row>
    <row r="38" spans="1:20" outlineLevel="2" x14ac:dyDescent="0.3">
      <c r="A38" s="128" t="s">
        <v>171</v>
      </c>
      <c r="B38" s="128" t="s">
        <v>181</v>
      </c>
      <c r="C38" s="48">
        <v>0</v>
      </c>
      <c r="D38" s="293"/>
      <c r="E38" s="293"/>
      <c r="F38" s="48">
        <v>-5289.71</v>
      </c>
      <c r="G38" s="48">
        <v>5000</v>
      </c>
      <c r="H38" s="48">
        <f t="shared" si="10"/>
        <v>9085.02</v>
      </c>
      <c r="I38" s="299"/>
      <c r="J38" s="48">
        <f>11193.99-K38</f>
        <v>11187</v>
      </c>
      <c r="K38" s="48">
        <v>6.99</v>
      </c>
      <c r="L38" s="48"/>
      <c r="M38" s="48">
        <v>-5000</v>
      </c>
      <c r="N38" s="48">
        <f t="shared" si="11"/>
        <v>88109.96</v>
      </c>
      <c r="O38" s="299"/>
      <c r="P38" s="175">
        <f t="shared" si="0"/>
        <v>97194.98000000001</v>
      </c>
      <c r="R38" s="48">
        <v>11193.99</v>
      </c>
      <c r="S38" s="48">
        <v>13155.49</v>
      </c>
      <c r="T38" s="48">
        <f t="shared" si="9"/>
        <v>-1961.5</v>
      </c>
    </row>
    <row r="39" spans="1:20" outlineLevel="2" x14ac:dyDescent="0.3">
      <c r="A39" s="128" t="s">
        <v>171</v>
      </c>
      <c r="B39" s="128" t="s">
        <v>182</v>
      </c>
      <c r="C39" s="48">
        <v>0</v>
      </c>
      <c r="D39" s="293"/>
      <c r="E39" s="293"/>
      <c r="F39" s="48">
        <v>-19959.93</v>
      </c>
      <c r="G39" s="48">
        <v>19000</v>
      </c>
      <c r="H39" s="48">
        <f t="shared" si="10"/>
        <v>8125.09</v>
      </c>
      <c r="I39" s="299"/>
      <c r="J39" s="48">
        <f>4503.7-K39</f>
        <v>4497</v>
      </c>
      <c r="K39" s="48">
        <v>6.7</v>
      </c>
      <c r="L39" s="48"/>
      <c r="M39" s="48">
        <v>-19000</v>
      </c>
      <c r="N39" s="48">
        <f t="shared" si="11"/>
        <v>73613.66</v>
      </c>
      <c r="O39" s="299"/>
      <c r="P39" s="175">
        <f t="shared" si="0"/>
        <v>81738.75</v>
      </c>
      <c r="R39" s="48">
        <f>4503.7</f>
        <v>4503.7</v>
      </c>
      <c r="S39" s="48">
        <v>2370.6999999999998</v>
      </c>
      <c r="T39" s="48">
        <f t="shared" si="9"/>
        <v>2133</v>
      </c>
    </row>
    <row r="40" spans="1:20" ht="18" outlineLevel="2" thickBot="1" x14ac:dyDescent="0.35">
      <c r="A40" s="128" t="s">
        <v>171</v>
      </c>
      <c r="B40" s="128" t="s">
        <v>183</v>
      </c>
      <c r="C40" s="176">
        <v>0</v>
      </c>
      <c r="D40" s="206">
        <f>1192.56+650.46+160.85+167+681.05+168+168+252</f>
        <v>3439.92</v>
      </c>
      <c r="E40" s="323">
        <f>-6.15-6.18-6.18-9.72-5.1</f>
        <v>-33.33</v>
      </c>
      <c r="F40" s="48">
        <f>-3670.16-E40</f>
        <v>-3636.83</v>
      </c>
      <c r="G40" s="48">
        <v>5000</v>
      </c>
      <c r="H40" s="48">
        <f>H39+C40+D40+E40+F40+G40</f>
        <v>12894.85</v>
      </c>
      <c r="I40" s="299"/>
      <c r="J40" s="48">
        <f>6297.97-K40</f>
        <v>6292</v>
      </c>
      <c r="K40" s="48">
        <v>5.97</v>
      </c>
      <c r="L40" s="48">
        <v>-186</v>
      </c>
      <c r="M40" s="48">
        <v>-5000</v>
      </c>
      <c r="N40" s="48">
        <f t="shared" si="11"/>
        <v>74725.63</v>
      </c>
      <c r="O40" s="299"/>
      <c r="P40" s="175">
        <f t="shared" si="0"/>
        <v>87620.48000000001</v>
      </c>
      <c r="R40" s="48">
        <f t="shared" ref="R40:R46" si="12">C40+D40+J40+K40</f>
        <v>9737.89</v>
      </c>
      <c r="S40" s="48">
        <v>9958.9699999999993</v>
      </c>
      <c r="T40" s="48">
        <f t="shared" si="9"/>
        <v>-221.07999999999993</v>
      </c>
    </row>
    <row r="41" spans="1:20" ht="18.600000000000001" outlineLevel="1" thickTop="1" thickBot="1" x14ac:dyDescent="0.35">
      <c r="A41" s="314" t="s">
        <v>280</v>
      </c>
      <c r="B41" s="315"/>
      <c r="C41" s="316">
        <f t="shared" ref="C41:H41" si="13">SUBTOTAL(9,C29:C40)</f>
        <v>120.5</v>
      </c>
      <c r="D41" s="316">
        <f t="shared" si="13"/>
        <v>3439.92</v>
      </c>
      <c r="E41" s="316">
        <f t="shared" si="13"/>
        <v>-33.33</v>
      </c>
      <c r="F41" s="316">
        <f t="shared" si="13"/>
        <v>-81801.460000000006</v>
      </c>
      <c r="G41" s="316">
        <f t="shared" si="13"/>
        <v>79000</v>
      </c>
      <c r="H41" s="316"/>
      <c r="I41" s="316">
        <f t="shared" ref="I41:T41" si="14">SUBTOTAL(9,I29:I40)</f>
        <v>0</v>
      </c>
      <c r="J41" s="316">
        <f t="shared" si="14"/>
        <v>79001.989999999991</v>
      </c>
      <c r="K41" s="316">
        <f t="shared" si="14"/>
        <v>78.64</v>
      </c>
      <c r="L41" s="316">
        <f t="shared" si="14"/>
        <v>-699</v>
      </c>
      <c r="M41" s="316">
        <f t="shared" si="14"/>
        <v>-79000</v>
      </c>
      <c r="N41" s="316"/>
      <c r="O41" s="316">
        <f t="shared" si="14"/>
        <v>0</v>
      </c>
      <c r="P41" s="316"/>
      <c r="Q41" s="316"/>
      <c r="R41" s="316">
        <f t="shared" si="14"/>
        <v>82520.55</v>
      </c>
      <c r="S41" s="316">
        <f t="shared" si="14"/>
        <v>81801.64</v>
      </c>
      <c r="T41" s="317">
        <f t="shared" si="14"/>
        <v>718.91000000000145</v>
      </c>
    </row>
    <row r="42" spans="1:20" ht="18" outlineLevel="2" thickTop="1" x14ac:dyDescent="0.3">
      <c r="A42" s="177" t="s">
        <v>213</v>
      </c>
      <c r="B42" s="177" t="s">
        <v>214</v>
      </c>
      <c r="C42" s="48">
        <v>0</v>
      </c>
      <c r="D42" s="48">
        <f>168+168+168+182</f>
        <v>686</v>
      </c>
      <c r="E42" s="48">
        <f>-6.18-6.18-6.48-6.67</f>
        <v>-25.509999999999998</v>
      </c>
      <c r="F42" s="207">
        <f>-3293.57-E42</f>
        <v>-3268.06</v>
      </c>
      <c r="G42" s="48">
        <v>5000</v>
      </c>
      <c r="H42" s="48">
        <f>H40+C42+D42+E42+F42+G42</f>
        <v>15287.28</v>
      </c>
      <c r="I42" s="301"/>
      <c r="J42" s="207">
        <f>2011.35-K42</f>
        <v>2005</v>
      </c>
      <c r="K42" s="48">
        <v>6.35</v>
      </c>
      <c r="L42" s="48"/>
      <c r="M42" s="48">
        <v>-5000</v>
      </c>
      <c r="N42" s="48">
        <f>N40+J42+K42+L42+M42</f>
        <v>71736.98000000001</v>
      </c>
      <c r="O42" s="305"/>
      <c r="P42" s="175">
        <f t="shared" si="0"/>
        <v>87024.260000000009</v>
      </c>
      <c r="R42" s="48">
        <f t="shared" si="12"/>
        <v>2697.35</v>
      </c>
      <c r="S42" s="48">
        <f>'FY25 Income &amp; Expenses'!C7</f>
        <v>2094.35</v>
      </c>
      <c r="T42" s="48">
        <f t="shared" si="9"/>
        <v>603</v>
      </c>
    </row>
    <row r="43" spans="1:20" outlineLevel="2" x14ac:dyDescent="0.3">
      <c r="A43" s="177" t="s">
        <v>213</v>
      </c>
      <c r="B43" s="177" t="s">
        <v>215</v>
      </c>
      <c r="C43" s="176">
        <v>87</v>
      </c>
      <c r="D43" s="48">
        <f>1629+209+418+492+418+209+87</f>
        <v>3462</v>
      </c>
      <c r="E43" s="48">
        <f>-58.53-7.62-15.24-19.04-15.84-7.62-3.35</f>
        <v>-127.24000000000001</v>
      </c>
      <c r="F43" s="48">
        <f>-3203.1-E43</f>
        <v>-3075.8599999999997</v>
      </c>
      <c r="G43" s="48">
        <v>0</v>
      </c>
      <c r="H43" s="48">
        <f t="shared" ref="H43:H53" si="15">H42+C43+D43+E43+F43+G43</f>
        <v>15633.179999999997</v>
      </c>
      <c r="I43" s="301"/>
      <c r="J43" s="48">
        <f>8163.17-K43</f>
        <v>8157</v>
      </c>
      <c r="K43" s="48">
        <v>6.17</v>
      </c>
      <c r="L43" s="48">
        <v>-249</v>
      </c>
      <c r="M43" s="48">
        <v>0</v>
      </c>
      <c r="N43" s="48">
        <f t="shared" si="11"/>
        <v>79651.150000000009</v>
      </c>
      <c r="O43" s="305"/>
      <c r="P43" s="175">
        <f t="shared" si="0"/>
        <v>95284.33</v>
      </c>
      <c r="R43" s="48">
        <f t="shared" si="12"/>
        <v>11712.17</v>
      </c>
      <c r="S43" s="48">
        <f>'FY25 Income &amp; Expenses'!D7</f>
        <v>12567.9</v>
      </c>
      <c r="T43" s="48">
        <f t="shared" si="9"/>
        <v>-855.72999999999956</v>
      </c>
    </row>
    <row r="44" spans="1:20" outlineLevel="2" x14ac:dyDescent="0.3">
      <c r="A44" s="177" t="s">
        <v>213</v>
      </c>
      <c r="B44" s="177" t="s">
        <v>216</v>
      </c>
      <c r="C44" s="48">
        <v>0</v>
      </c>
      <c r="D44" s="48">
        <f>174+579+209</f>
        <v>962</v>
      </c>
      <c r="E44" s="48">
        <f>-6.39-22.39-3</f>
        <v>-31.78</v>
      </c>
      <c r="F44" s="48">
        <f>-5764.68-E44</f>
        <v>-5732.9000000000005</v>
      </c>
      <c r="G44" s="48">
        <v>5000</v>
      </c>
      <c r="H44" s="48">
        <f t="shared" si="15"/>
        <v>15830.499999999996</v>
      </c>
      <c r="I44" s="301"/>
      <c r="J44" s="48">
        <f>2612.43-K44</f>
        <v>2605.7999999999997</v>
      </c>
      <c r="K44" s="48">
        <v>6.63</v>
      </c>
      <c r="L44" s="48"/>
      <c r="M44" s="48">
        <v>-5000</v>
      </c>
      <c r="N44" s="48">
        <f t="shared" si="11"/>
        <v>77263.580000000016</v>
      </c>
      <c r="O44" s="305"/>
      <c r="P44" s="175">
        <f t="shared" si="0"/>
        <v>93094.080000000016</v>
      </c>
      <c r="R44" s="48">
        <f t="shared" si="12"/>
        <v>3574.43</v>
      </c>
      <c r="S44" s="48">
        <f>'FY25 Income &amp; Expenses'!E7</f>
        <v>1791.9</v>
      </c>
      <c r="T44" s="48">
        <f t="shared" si="9"/>
        <v>1782.5299999999997</v>
      </c>
    </row>
    <row r="45" spans="1:20" outlineLevel="2" x14ac:dyDescent="0.3">
      <c r="A45" s="177" t="s">
        <v>213</v>
      </c>
      <c r="B45" s="300" t="s">
        <v>217</v>
      </c>
      <c r="C45" s="48">
        <v>0</v>
      </c>
      <c r="D45" s="48">
        <f>3135.49</f>
        <v>3135.49</v>
      </c>
      <c r="E45" s="48">
        <f>-19.17-19.17-16.71-23.45-6.39-16.33-3.77-6.39</f>
        <v>-111.38</v>
      </c>
      <c r="F45" s="48">
        <f>-7086.09-E45</f>
        <v>-6974.71</v>
      </c>
      <c r="G45" s="48">
        <v>0</v>
      </c>
      <c r="H45" s="48">
        <f t="shared" si="15"/>
        <v>11879.899999999998</v>
      </c>
      <c r="I45" s="301"/>
      <c r="J45" s="48">
        <f>6363.87-K45</f>
        <v>6357</v>
      </c>
      <c r="K45" s="48">
        <v>6.87</v>
      </c>
      <c r="L45" s="48"/>
      <c r="M45" s="48">
        <v>0</v>
      </c>
      <c r="N45" s="48">
        <f t="shared" si="11"/>
        <v>83627.450000000012</v>
      </c>
      <c r="O45" s="305"/>
      <c r="P45" s="175">
        <f t="shared" si="0"/>
        <v>95507.35</v>
      </c>
      <c r="R45" s="48">
        <f t="shared" si="12"/>
        <v>9499.36</v>
      </c>
      <c r="S45" s="48">
        <f>'FY25 Income &amp; Expenses'!F7</f>
        <v>11613.87</v>
      </c>
      <c r="T45" s="48">
        <f t="shared" si="9"/>
        <v>-2114.5100000000002</v>
      </c>
    </row>
    <row r="46" spans="1:20" outlineLevel="2" x14ac:dyDescent="0.3">
      <c r="A46" s="177" t="s">
        <v>213</v>
      </c>
      <c r="B46" s="177" t="s">
        <v>218</v>
      </c>
      <c r="C46" s="48">
        <v>0</v>
      </c>
      <c r="D46" s="48">
        <f>2337</f>
        <v>2337</v>
      </c>
      <c r="E46" s="48">
        <f>-6.39-6.39-23.45-45.75</f>
        <v>-81.97999999999999</v>
      </c>
      <c r="F46" s="48">
        <f>-4224.08-E46</f>
        <v>-4142.1000000000004</v>
      </c>
      <c r="G46" s="48">
        <v>5000</v>
      </c>
      <c r="H46" s="48">
        <f t="shared" si="15"/>
        <v>14992.819999999998</v>
      </c>
      <c r="I46" s="301"/>
      <c r="J46" s="48">
        <f>3232.23-K46</f>
        <v>3226</v>
      </c>
      <c r="K46" s="48">
        <v>6.23</v>
      </c>
      <c r="L46" s="48"/>
      <c r="M46" s="48">
        <v>-5000</v>
      </c>
      <c r="N46" s="48">
        <f t="shared" si="11"/>
        <v>81859.680000000008</v>
      </c>
      <c r="O46" s="305"/>
      <c r="P46" s="175">
        <f t="shared" si="0"/>
        <v>96852.5</v>
      </c>
      <c r="R46" s="48">
        <f t="shared" si="12"/>
        <v>5569.23</v>
      </c>
      <c r="S46" s="48">
        <f>'FY25 Income &amp; Expenses'!G7</f>
        <v>1345.23</v>
      </c>
      <c r="T46" s="48">
        <f t="shared" si="9"/>
        <v>4224</v>
      </c>
    </row>
    <row r="47" spans="1:20" outlineLevel="2" x14ac:dyDescent="0.3">
      <c r="A47" s="177" t="s">
        <v>213</v>
      </c>
      <c r="B47" s="177" t="s">
        <v>219</v>
      </c>
      <c r="C47" s="48">
        <v>0</v>
      </c>
      <c r="D47" s="48">
        <v>5045</v>
      </c>
      <c r="E47" s="48">
        <f>-24.45-6.18-12.78-6.39-32.88-0.35-6.39-12.48-6.39-73.74</f>
        <v>-182.03</v>
      </c>
      <c r="F47" s="207">
        <f>-5172.74-E47</f>
        <v>-4990.71</v>
      </c>
      <c r="G47" s="48">
        <v>0</v>
      </c>
      <c r="H47" s="48">
        <f t="shared" si="15"/>
        <v>14865.080000000002</v>
      </c>
      <c r="I47" s="301"/>
      <c r="J47" s="48">
        <f>6058.25-84-K47</f>
        <v>5967</v>
      </c>
      <c r="K47" s="48">
        <v>7.25</v>
      </c>
      <c r="L47" s="48"/>
      <c r="M47" s="48">
        <v>0</v>
      </c>
      <c r="N47" s="48">
        <f t="shared" si="11"/>
        <v>87833.930000000008</v>
      </c>
      <c r="O47" s="305"/>
      <c r="P47" s="175">
        <f>H47+N47</f>
        <v>102699.01000000001</v>
      </c>
      <c r="R47" s="48">
        <f>C47+D47+J47+K47</f>
        <v>11019.25</v>
      </c>
      <c r="S47" s="48">
        <f>'FY25 Income &amp; Expenses'!H7</f>
        <v>15000.25</v>
      </c>
      <c r="T47" s="48">
        <f>R47-S47</f>
        <v>-3981</v>
      </c>
    </row>
    <row r="48" spans="1:20" outlineLevel="2" x14ac:dyDescent="0.3">
      <c r="A48" s="177" t="s">
        <v>213</v>
      </c>
      <c r="B48" s="177" t="s">
        <v>220</v>
      </c>
      <c r="C48" s="48">
        <v>0</v>
      </c>
      <c r="D48" s="48">
        <v>870</v>
      </c>
      <c r="E48" s="48">
        <v>-32.880000000000003</v>
      </c>
      <c r="F48" s="48">
        <f>-3389.94-E48</f>
        <v>-3357.06</v>
      </c>
      <c r="G48" s="48">
        <v>0</v>
      </c>
      <c r="H48" s="48">
        <f t="shared" si="15"/>
        <v>12345.140000000003</v>
      </c>
      <c r="I48" s="301"/>
      <c r="J48" s="207">
        <f>2596.35-K48</f>
        <v>2589</v>
      </c>
      <c r="K48" s="48">
        <v>7.35</v>
      </c>
      <c r="L48" s="48"/>
      <c r="M48" s="48">
        <v>0</v>
      </c>
      <c r="N48" s="48">
        <f t="shared" si="11"/>
        <v>90430.280000000013</v>
      </c>
      <c r="O48" s="305"/>
      <c r="P48" s="175">
        <f>H48+N48</f>
        <v>102775.42000000001</v>
      </c>
      <c r="R48" s="48">
        <f>C48+D48+J48+K48</f>
        <v>3466.35</v>
      </c>
      <c r="S48" s="48">
        <f>'FY25 Income &amp; Expenses'!I7</f>
        <v>1053.25</v>
      </c>
      <c r="T48" s="48">
        <f>R48-S48</f>
        <v>2413.1</v>
      </c>
    </row>
    <row r="49" spans="1:22" outlineLevel="2" x14ac:dyDescent="0.3">
      <c r="A49" s="177" t="s">
        <v>213</v>
      </c>
      <c r="B49" s="177" t="s">
        <v>221</v>
      </c>
      <c r="C49" s="48">
        <v>0</v>
      </c>
      <c r="D49" s="48">
        <f>'Intuit Deposits &amp; Fees'!E50</f>
        <v>4102.2999999999993</v>
      </c>
      <c r="E49" s="48">
        <f>'Intuit Deposits &amp; Fees'!F50</f>
        <v>-151.10999999999999</v>
      </c>
      <c r="F49" s="207">
        <f>-4786.88-E49</f>
        <v>-4635.7700000000004</v>
      </c>
      <c r="G49" s="48">
        <v>0</v>
      </c>
      <c r="H49" s="48">
        <f t="shared" si="15"/>
        <v>11660.560000000001</v>
      </c>
      <c r="I49" s="301"/>
      <c r="J49" s="207">
        <f>6286.88-K49</f>
        <v>6279</v>
      </c>
      <c r="K49" s="48">
        <v>7.88</v>
      </c>
      <c r="L49" s="48"/>
      <c r="M49" s="48">
        <v>0</v>
      </c>
      <c r="N49" s="48">
        <f t="shared" si="11"/>
        <v>96717.160000000018</v>
      </c>
      <c r="O49" s="305"/>
      <c r="P49" s="175">
        <f t="shared" ref="P49:P50" si="16">H49+N49</f>
        <v>108377.72000000002</v>
      </c>
      <c r="R49" s="48">
        <f t="shared" ref="R49:R53" si="17">C49+D49+J49+K49</f>
        <v>10389.179999999998</v>
      </c>
      <c r="S49" s="48">
        <f>'FY25 Income &amp; Expenses'!J7</f>
        <v>11668.779999999999</v>
      </c>
      <c r="T49" s="48">
        <f t="shared" ref="T49:T53" si="18">R49-S49</f>
        <v>-1279.6000000000004</v>
      </c>
    </row>
    <row r="50" spans="1:22" outlineLevel="2" x14ac:dyDescent="0.3">
      <c r="A50" s="177" t="s">
        <v>213</v>
      </c>
      <c r="B50" s="177" t="s">
        <v>222</v>
      </c>
      <c r="C50" s="48">
        <v>0</v>
      </c>
      <c r="D50" s="48">
        <f>'Intuit Deposits &amp; Fees'!E52</f>
        <v>732</v>
      </c>
      <c r="E50" s="48">
        <f>'Intuit Deposits &amp; Fees'!F52</f>
        <v>-28.05</v>
      </c>
      <c r="F50" s="207">
        <f>-4110.58-E50</f>
        <v>-4082.5299999999997</v>
      </c>
      <c r="G50" s="48">
        <v>5000</v>
      </c>
      <c r="H50" s="48">
        <f t="shared" si="15"/>
        <v>13281.980000000003</v>
      </c>
      <c r="I50" s="301"/>
      <c r="J50" s="207">
        <f>1843.83-K50</f>
        <v>1836</v>
      </c>
      <c r="K50" s="48">
        <v>7.83</v>
      </c>
      <c r="L50" s="48"/>
      <c r="M50" s="48">
        <v>-5000</v>
      </c>
      <c r="N50" s="48">
        <f t="shared" si="11"/>
        <v>93560.99000000002</v>
      </c>
      <c r="O50" s="305"/>
      <c r="P50" s="175">
        <f t="shared" si="16"/>
        <v>106842.97000000003</v>
      </c>
      <c r="R50" s="48">
        <f t="shared" si="17"/>
        <v>2575.83</v>
      </c>
      <c r="S50" s="48">
        <f>'FY25 Income &amp; Expenses'!K7</f>
        <v>1123.83</v>
      </c>
      <c r="T50" s="48">
        <f t="shared" si="18"/>
        <v>1452</v>
      </c>
    </row>
    <row r="51" spans="1:22" outlineLevel="2" x14ac:dyDescent="0.3">
      <c r="A51" s="177" t="s">
        <v>213</v>
      </c>
      <c r="B51" s="177" t="s">
        <v>223</v>
      </c>
      <c r="C51" s="48">
        <v>0</v>
      </c>
      <c r="D51" s="48">
        <f>'Intuit Deposits &amp; Fees'!E64</f>
        <v>5010.16</v>
      </c>
      <c r="E51" s="48">
        <f>'Intuit Deposits &amp; Fees'!F64</f>
        <v>-184.7</v>
      </c>
      <c r="F51" s="207">
        <f>-4407.99-E51</f>
        <v>-4223.29</v>
      </c>
      <c r="G51" s="48">
        <v>0</v>
      </c>
      <c r="H51" s="48">
        <f t="shared" si="15"/>
        <v>13884.150000000001</v>
      </c>
      <c r="I51" s="301"/>
      <c r="J51" s="207">
        <f>5632.05-K51</f>
        <v>5624</v>
      </c>
      <c r="K51" s="48">
        <v>8.0500000000000007</v>
      </c>
      <c r="M51" s="48">
        <v>0</v>
      </c>
      <c r="N51" s="48">
        <f>N50+J51+K51+L51+M51</f>
        <v>99193.040000000023</v>
      </c>
      <c r="O51" s="305"/>
      <c r="P51" s="175">
        <f>H51+N51</f>
        <v>113077.19000000003</v>
      </c>
      <c r="R51" s="48">
        <f t="shared" si="17"/>
        <v>10642.21</v>
      </c>
      <c r="S51" s="48">
        <f>'FY25 Income &amp; Expenses'!L7</f>
        <v>12345.509999999998</v>
      </c>
      <c r="T51" s="48">
        <f t="shared" si="18"/>
        <v>-1703.2999999999993</v>
      </c>
    </row>
    <row r="52" spans="1:22" outlineLevel="2" x14ac:dyDescent="0.3">
      <c r="A52" s="177" t="s">
        <v>213</v>
      </c>
      <c r="B52" s="177" t="s">
        <v>224</v>
      </c>
      <c r="C52" s="48">
        <v>0</v>
      </c>
      <c r="D52" s="48">
        <f>'Intuit Deposits &amp; Fees'!E66</f>
        <v>783</v>
      </c>
      <c r="E52" s="48">
        <f>'Intuit Deposits &amp; Fees'!F66</f>
        <v>-25.189999999999998</v>
      </c>
      <c r="F52" s="207">
        <f>-30245.18-E52</f>
        <v>-30219.99</v>
      </c>
      <c r="G52" s="48">
        <f>5000+15000+5000</f>
        <v>25000</v>
      </c>
      <c r="H52" s="48">
        <f t="shared" si="15"/>
        <v>9421.9699999999993</v>
      </c>
      <c r="I52" s="301"/>
      <c r="J52" s="48">
        <f>3637.73-K52</f>
        <v>3630.98</v>
      </c>
      <c r="K52" s="48">
        <v>6.75</v>
      </c>
      <c r="M52" s="48">
        <f>-5000-15000-5000</f>
        <v>-25000</v>
      </c>
      <c r="N52" s="48">
        <f>N51+J52+K52+L52+M52</f>
        <v>77830.770000000019</v>
      </c>
      <c r="O52" s="305"/>
      <c r="P52" s="175">
        <f t="shared" ref="P52:P53" si="19">H52+N52</f>
        <v>87252.74000000002</v>
      </c>
      <c r="R52" s="48">
        <f t="shared" si="17"/>
        <v>4420.7299999999996</v>
      </c>
      <c r="S52" s="48">
        <f>'FY25 Income &amp; Expenses'!M7</f>
        <v>2376.73</v>
      </c>
      <c r="T52" s="48">
        <f t="shared" si="18"/>
        <v>2043.9999999999995</v>
      </c>
    </row>
    <row r="53" spans="1:22" ht="18" outlineLevel="2" thickBot="1" x14ac:dyDescent="0.35">
      <c r="A53" s="177" t="s">
        <v>213</v>
      </c>
      <c r="B53" s="177" t="s">
        <v>225</v>
      </c>
      <c r="C53" s="48">
        <v>296.60000000000002</v>
      </c>
      <c r="D53" s="48">
        <f>'Intuit Deposits &amp; Fees'!E79</f>
        <v>5006</v>
      </c>
      <c r="E53" s="48">
        <f>'Intuit Deposits &amp; Fees'!F79</f>
        <v>-186.09999999999994</v>
      </c>
      <c r="F53" s="48">
        <f>-8045.19-E53</f>
        <v>-7859.0899999999992</v>
      </c>
      <c r="G53" s="48">
        <f>5000</f>
        <v>5000</v>
      </c>
      <c r="H53" s="48">
        <f t="shared" si="15"/>
        <v>11679.380000000001</v>
      </c>
      <c r="I53" s="301"/>
      <c r="J53" s="48">
        <f>2726.31-K53</f>
        <v>2720</v>
      </c>
      <c r="K53" s="48">
        <v>6.31</v>
      </c>
      <c r="L53" s="48"/>
      <c r="M53" s="48">
        <f>-5000</f>
        <v>-5000</v>
      </c>
      <c r="N53" s="48">
        <f>N52+J53+K53+L53+M53</f>
        <v>75557.080000000016</v>
      </c>
      <c r="O53" s="305"/>
      <c r="P53" s="175">
        <f t="shared" si="19"/>
        <v>87236.460000000021</v>
      </c>
      <c r="R53" s="48">
        <f t="shared" si="17"/>
        <v>8028.9100000000008</v>
      </c>
      <c r="S53" s="48">
        <f>'FY25 Income &amp; Expenses'!N7</f>
        <v>11662.81</v>
      </c>
      <c r="T53" s="48">
        <f t="shared" si="18"/>
        <v>-3633.8999999999987</v>
      </c>
    </row>
    <row r="54" spans="1:22" ht="18.600000000000001" outlineLevel="1" thickTop="1" thickBot="1" x14ac:dyDescent="0.35">
      <c r="A54" s="318" t="s">
        <v>281</v>
      </c>
      <c r="B54" s="319"/>
      <c r="C54" s="320">
        <f t="shared" ref="C54:H54" si="20">SUBTOTAL(9,C42:C53)</f>
        <v>383.6</v>
      </c>
      <c r="D54" s="320">
        <f t="shared" si="20"/>
        <v>32130.949999999997</v>
      </c>
      <c r="E54" s="320">
        <f t="shared" si="20"/>
        <v>-1167.9499999999998</v>
      </c>
      <c r="F54" s="320">
        <f t="shared" si="20"/>
        <v>-82562.069999999992</v>
      </c>
      <c r="G54" s="320">
        <f t="shared" si="20"/>
        <v>50000</v>
      </c>
      <c r="H54" s="320"/>
      <c r="I54" s="320"/>
      <c r="J54" s="320"/>
      <c r="K54" s="320">
        <f>SUM(K42:K53)</f>
        <v>83.67</v>
      </c>
      <c r="L54" s="320">
        <f t="shared" ref="L54:T54" si="21">SUM(L42:L53)</f>
        <v>-249</v>
      </c>
      <c r="M54" s="320">
        <f t="shared" si="21"/>
        <v>-50000</v>
      </c>
      <c r="N54" s="320"/>
      <c r="O54" s="320">
        <f t="shared" si="21"/>
        <v>0</v>
      </c>
      <c r="P54" s="320"/>
      <c r="Q54" s="320"/>
      <c r="R54" s="320">
        <f t="shared" si="21"/>
        <v>83595</v>
      </c>
      <c r="S54" s="320">
        <f t="shared" si="21"/>
        <v>84644.409999999989</v>
      </c>
      <c r="T54" s="321">
        <f t="shared" si="21"/>
        <v>-1049.4099999999989</v>
      </c>
    </row>
    <row r="55" spans="1:22" ht="18" thickTop="1" x14ac:dyDescent="0.3">
      <c r="D55" s="48"/>
      <c r="E55" s="48"/>
      <c r="I55" s="176"/>
      <c r="O55" s="176"/>
      <c r="P55" s="240"/>
      <c r="Q55" s="238"/>
      <c r="R55" s="239"/>
      <c r="S55" s="239"/>
      <c r="T55" s="239"/>
      <c r="U55" s="238"/>
      <c r="V55" s="238"/>
    </row>
    <row r="56" spans="1:22" x14ac:dyDescent="0.3">
      <c r="E56" s="348">
        <f>-(E40/D40)</f>
        <v>9.6891788181120483E-3</v>
      </c>
      <c r="F56" s="349" t="s">
        <v>283</v>
      </c>
      <c r="I56" s="176"/>
      <c r="O56" s="176"/>
      <c r="P56" s="175"/>
    </row>
    <row r="57" spans="1:22" x14ac:dyDescent="0.3">
      <c r="E57" s="348">
        <f>-(E54/D54)</f>
        <v>3.6349687762110984E-2</v>
      </c>
      <c r="F57" s="349" t="s">
        <v>282</v>
      </c>
      <c r="I57" s="176"/>
      <c r="O57" s="176"/>
      <c r="P57" s="175"/>
      <c r="U57" s="241"/>
    </row>
    <row r="58" spans="1:22" x14ac:dyDescent="0.3">
      <c r="D58" s="48"/>
      <c r="E58" s="48"/>
      <c r="F58" s="208"/>
      <c r="I58" s="176"/>
      <c r="O58" s="176"/>
      <c r="P58" s="175"/>
    </row>
    <row r="59" spans="1:22" x14ac:dyDescent="0.3">
      <c r="P59" s="175"/>
    </row>
    <row r="60" spans="1:22" x14ac:dyDescent="0.3">
      <c r="P60" s="175"/>
    </row>
  </sheetData>
  <mergeCells count="2">
    <mergeCell ref="C1:H1"/>
    <mergeCell ref="J1:N1"/>
  </mergeCells>
  <phoneticPr fontId="17" type="noConversion"/>
  <pageMargins left="0.25" right="0.25" top="0.75" bottom="0.75" header="0.3" footer="0.3"/>
  <pageSetup paperSize="5" scale="75"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6FAD-88F4-4D2B-AECD-4DB163D9DB96}">
  <sheetPr>
    <tabColor rgb="FFFFFF00"/>
  </sheetPr>
  <dimension ref="A1:I83"/>
  <sheetViews>
    <sheetView workbookViewId="0">
      <pane ySplit="1" topLeftCell="A68" activePane="bottomLeft" state="frozen"/>
      <selection pane="bottomLeft" activeCell="C83" sqref="C83"/>
    </sheetView>
  </sheetViews>
  <sheetFormatPr defaultRowHeight="17.399999999999999" x14ac:dyDescent="0.3"/>
  <cols>
    <col min="1" max="1" width="7.3828125" bestFit="1" customWidth="1"/>
    <col min="2" max="2" width="11.4609375" bestFit="1" customWidth="1"/>
    <col min="3" max="3" width="10.69140625" bestFit="1" customWidth="1"/>
    <col min="4" max="4" width="10.53515625" bestFit="1" customWidth="1"/>
    <col min="5" max="5" width="11.4609375" bestFit="1" customWidth="1"/>
    <col min="6" max="6" width="11.07421875" customWidth="1"/>
    <col min="7" max="7" width="7.921875" bestFit="1" customWidth="1"/>
  </cols>
  <sheetData>
    <row r="1" spans="1:9" ht="52.2" x14ac:dyDescent="0.3">
      <c r="A1" s="35" t="s">
        <v>264</v>
      </c>
      <c r="B1" s="35" t="s">
        <v>265</v>
      </c>
      <c r="C1" s="35" t="s">
        <v>266</v>
      </c>
      <c r="D1" s="35" t="s">
        <v>267</v>
      </c>
      <c r="E1" s="246" t="s">
        <v>271</v>
      </c>
      <c r="F1" s="246" t="s">
        <v>273</v>
      </c>
      <c r="G1" s="246" t="s">
        <v>272</v>
      </c>
    </row>
    <row r="2" spans="1:9" x14ac:dyDescent="0.3">
      <c r="A2" s="233">
        <v>45566</v>
      </c>
      <c r="B2" s="48">
        <v>168</v>
      </c>
      <c r="C2" s="48">
        <v>-6.18</v>
      </c>
      <c r="D2" s="232">
        <f>-C2/B2</f>
        <v>3.6785714285714283E-2</v>
      </c>
      <c r="G2" s="232"/>
    </row>
    <row r="3" spans="1:9" x14ac:dyDescent="0.3">
      <c r="A3" s="233">
        <v>45567</v>
      </c>
      <c r="B3" s="48">
        <v>168</v>
      </c>
      <c r="C3" s="48">
        <v>-6.18</v>
      </c>
      <c r="D3" s="232">
        <f t="shared" ref="D3:D67" si="0">-C3/B3</f>
        <v>3.6785714285714283E-2</v>
      </c>
      <c r="G3" s="232"/>
    </row>
    <row r="4" spans="1:9" x14ac:dyDescent="0.3">
      <c r="A4" s="233">
        <v>45568</v>
      </c>
      <c r="B4" s="48">
        <v>168</v>
      </c>
      <c r="C4" s="48">
        <v>-6.48</v>
      </c>
      <c r="D4" s="232">
        <f t="shared" si="0"/>
        <v>3.8571428571428576E-2</v>
      </c>
      <c r="G4" s="232"/>
    </row>
    <row r="5" spans="1:9" x14ac:dyDescent="0.3">
      <c r="A5" s="233">
        <v>45569</v>
      </c>
      <c r="B5" s="259">
        <v>182</v>
      </c>
      <c r="C5" s="259">
        <v>-6.67</v>
      </c>
      <c r="D5" s="260">
        <f t="shared" si="0"/>
        <v>3.6648351648351646E-2</v>
      </c>
      <c r="E5" s="261">
        <f>SUM(B2:B5)</f>
        <v>686</v>
      </c>
      <c r="F5" s="261">
        <f>SUM(C2:C5)</f>
        <v>-25.509999999999998</v>
      </c>
      <c r="G5" s="260">
        <f>AVERAGE(D2:D5)</f>
        <v>3.7197802197802193E-2</v>
      </c>
      <c r="I5" s="232"/>
    </row>
    <row r="6" spans="1:9" x14ac:dyDescent="0.3">
      <c r="A6" s="234">
        <v>45597</v>
      </c>
      <c r="B6" s="48">
        <v>1629</v>
      </c>
      <c r="C6" s="48">
        <v>-58.53</v>
      </c>
      <c r="D6" s="232">
        <f t="shared" si="0"/>
        <v>3.5930018416206265E-2</v>
      </c>
      <c r="G6" s="232"/>
    </row>
    <row r="7" spans="1:9" x14ac:dyDescent="0.3">
      <c r="A7" s="234">
        <v>45598</v>
      </c>
      <c r="B7" s="48">
        <v>209</v>
      </c>
      <c r="C7" s="48">
        <v>-7.62</v>
      </c>
      <c r="D7" s="232">
        <f t="shared" si="0"/>
        <v>3.6459330143540671E-2</v>
      </c>
      <c r="G7" s="232"/>
    </row>
    <row r="8" spans="1:9" x14ac:dyDescent="0.3">
      <c r="A8" s="234">
        <v>45599</v>
      </c>
      <c r="B8" s="48">
        <v>418</v>
      </c>
      <c r="C8" s="48">
        <v>-15.24</v>
      </c>
      <c r="D8" s="232">
        <f t="shared" si="0"/>
        <v>3.6459330143540671E-2</v>
      </c>
      <c r="G8" s="232"/>
    </row>
    <row r="9" spans="1:9" x14ac:dyDescent="0.3">
      <c r="A9" s="234">
        <v>45600</v>
      </c>
      <c r="B9" s="48">
        <v>492</v>
      </c>
      <c r="C9" s="48">
        <v>-19.04</v>
      </c>
      <c r="D9" s="232">
        <f t="shared" si="0"/>
        <v>3.8699186991869916E-2</v>
      </c>
      <c r="G9" s="232"/>
    </row>
    <row r="10" spans="1:9" x14ac:dyDescent="0.3">
      <c r="A10" s="234">
        <v>45601</v>
      </c>
      <c r="B10" s="48">
        <v>418</v>
      </c>
      <c r="C10" s="48">
        <v>-15.84</v>
      </c>
      <c r="D10" s="232">
        <f t="shared" si="0"/>
        <v>3.7894736842105266E-2</v>
      </c>
      <c r="G10" s="232"/>
    </row>
    <row r="11" spans="1:9" x14ac:dyDescent="0.3">
      <c r="A11" s="234">
        <v>45602</v>
      </c>
      <c r="B11" s="48">
        <v>209</v>
      </c>
      <c r="C11" s="48">
        <v>-7.62</v>
      </c>
      <c r="D11" s="232">
        <f t="shared" si="0"/>
        <v>3.6459330143540671E-2</v>
      </c>
      <c r="G11" s="232"/>
    </row>
    <row r="12" spans="1:9" x14ac:dyDescent="0.3">
      <c r="A12" s="234">
        <v>45603</v>
      </c>
      <c r="B12" s="262">
        <v>87</v>
      </c>
      <c r="C12" s="262">
        <v>-3.35</v>
      </c>
      <c r="D12" s="263">
        <f t="shared" si="0"/>
        <v>3.8505747126436785E-2</v>
      </c>
      <c r="E12" s="264">
        <f>SUM(B6:B12)</f>
        <v>3462</v>
      </c>
      <c r="F12" s="264">
        <f>SUM(C6:C12)</f>
        <v>-127.24000000000001</v>
      </c>
      <c r="G12" s="263">
        <f>AVERAGE(D9:D12)</f>
        <v>3.7889750275988156E-2</v>
      </c>
      <c r="I12" s="207"/>
    </row>
    <row r="13" spans="1:9" x14ac:dyDescent="0.3">
      <c r="A13" s="235">
        <v>45627</v>
      </c>
      <c r="B13" s="48">
        <v>174</v>
      </c>
      <c r="C13" s="48">
        <v>-6.39</v>
      </c>
      <c r="D13" s="232">
        <f t="shared" si="0"/>
        <v>3.6724137931034483E-2</v>
      </c>
      <c r="G13" s="232"/>
    </row>
    <row r="14" spans="1:9" x14ac:dyDescent="0.3">
      <c r="A14" s="235">
        <v>45627</v>
      </c>
      <c r="B14" s="207">
        <v>579</v>
      </c>
      <c r="C14" s="207">
        <v>-22.39</v>
      </c>
      <c r="D14" s="232">
        <f t="shared" si="0"/>
        <v>3.8670120898100173E-2</v>
      </c>
      <c r="G14" s="232"/>
    </row>
    <row r="15" spans="1:9" x14ac:dyDescent="0.3">
      <c r="A15" s="235">
        <v>45627</v>
      </c>
      <c r="B15" s="265">
        <v>209</v>
      </c>
      <c r="C15" s="265">
        <v>-3</v>
      </c>
      <c r="D15" s="266">
        <f t="shared" si="0"/>
        <v>1.4354066985645933E-2</v>
      </c>
      <c r="E15" s="265">
        <f>SUM(B13:B15)</f>
        <v>962</v>
      </c>
      <c r="F15" s="265">
        <f>SUM(C13:C15)</f>
        <v>-31.78</v>
      </c>
      <c r="G15" s="266">
        <f>AVERAGE(D13:D15)</f>
        <v>2.9916108604926866E-2</v>
      </c>
    </row>
    <row r="16" spans="1:9" x14ac:dyDescent="0.3">
      <c r="A16" s="236">
        <v>45658</v>
      </c>
      <c r="B16" s="207">
        <v>522</v>
      </c>
      <c r="C16" s="207">
        <v>-19.170000000000002</v>
      </c>
      <c r="D16" s="232">
        <f t="shared" si="0"/>
        <v>3.6724137931034483E-2</v>
      </c>
      <c r="G16" s="232"/>
    </row>
    <row r="17" spans="1:7" x14ac:dyDescent="0.3">
      <c r="A17" s="236">
        <v>45658</v>
      </c>
      <c r="B17" s="207">
        <v>522</v>
      </c>
      <c r="C17" s="207">
        <v>-19.170000000000002</v>
      </c>
      <c r="D17" s="232">
        <f t="shared" si="0"/>
        <v>3.6724137931034483E-2</v>
      </c>
      <c r="G17" s="232"/>
    </row>
    <row r="18" spans="1:7" x14ac:dyDescent="0.3">
      <c r="A18" s="236">
        <v>45658</v>
      </c>
      <c r="B18" s="207">
        <v>557</v>
      </c>
      <c r="C18" s="207">
        <v>-16.71</v>
      </c>
      <c r="D18" s="232">
        <f t="shared" si="0"/>
        <v>3.0000000000000002E-2</v>
      </c>
      <c r="G18" s="232"/>
    </row>
    <row r="19" spans="1:7" x14ac:dyDescent="0.3">
      <c r="A19" s="236">
        <v>45658</v>
      </c>
      <c r="B19" s="207">
        <v>609</v>
      </c>
      <c r="C19" s="207">
        <v>-23.45</v>
      </c>
      <c r="D19" s="232">
        <f t="shared" si="0"/>
        <v>3.8505747126436778E-2</v>
      </c>
      <c r="G19" s="232"/>
    </row>
    <row r="20" spans="1:7" x14ac:dyDescent="0.3">
      <c r="A20" s="236">
        <v>45658</v>
      </c>
      <c r="B20" s="207">
        <v>174</v>
      </c>
      <c r="C20" s="207">
        <v>-6.39</v>
      </c>
      <c r="D20" s="232">
        <f t="shared" si="0"/>
        <v>3.6724137931034483E-2</v>
      </c>
      <c r="G20" s="232"/>
    </row>
    <row r="21" spans="1:7" x14ac:dyDescent="0.3">
      <c r="A21" s="236">
        <v>45658</v>
      </c>
      <c r="B21" s="207">
        <v>458</v>
      </c>
      <c r="C21" s="207">
        <v>-16.329999999999998</v>
      </c>
      <c r="D21" s="232">
        <f t="shared" si="0"/>
        <v>3.5655021834061135E-2</v>
      </c>
      <c r="G21" s="232"/>
    </row>
    <row r="22" spans="1:7" x14ac:dyDescent="0.3">
      <c r="A22" s="236">
        <v>45658</v>
      </c>
      <c r="B22" s="207">
        <v>99</v>
      </c>
      <c r="C22" s="207">
        <v>-3.77</v>
      </c>
      <c r="D22" s="232">
        <f t="shared" si="0"/>
        <v>3.8080808080808083E-2</v>
      </c>
      <c r="G22" s="232"/>
    </row>
    <row r="23" spans="1:7" x14ac:dyDescent="0.3">
      <c r="A23" s="236">
        <v>45658</v>
      </c>
      <c r="B23" s="247">
        <v>174</v>
      </c>
      <c r="C23" s="247">
        <v>-6.39</v>
      </c>
      <c r="D23" s="248">
        <f t="shared" si="0"/>
        <v>3.6724137931034483E-2</v>
      </c>
      <c r="E23" s="247">
        <f>SUM(B16:B23)</f>
        <v>3115</v>
      </c>
      <c r="F23" s="247">
        <f>SUM(C16:C23)</f>
        <v>-111.38</v>
      </c>
      <c r="G23" s="248">
        <f>AVERAGE(D16:D23)</f>
        <v>3.6142266095680491E-2</v>
      </c>
    </row>
    <row r="24" spans="1:7" x14ac:dyDescent="0.3">
      <c r="A24" s="237">
        <v>45689</v>
      </c>
      <c r="B24" s="207">
        <v>174</v>
      </c>
      <c r="C24" s="207">
        <v>-6.39</v>
      </c>
      <c r="D24" s="232">
        <f t="shared" si="0"/>
        <v>3.6724137931034483E-2</v>
      </c>
      <c r="G24" s="232"/>
    </row>
    <row r="25" spans="1:7" x14ac:dyDescent="0.3">
      <c r="A25" s="237">
        <v>45690</v>
      </c>
      <c r="B25" s="207">
        <v>174</v>
      </c>
      <c r="C25" s="207">
        <v>-6.39</v>
      </c>
      <c r="D25" s="232">
        <f t="shared" si="0"/>
        <v>3.6724137931034483E-2</v>
      </c>
      <c r="G25" s="232"/>
    </row>
    <row r="26" spans="1:7" x14ac:dyDescent="0.3">
      <c r="A26" s="237">
        <v>45691</v>
      </c>
      <c r="B26" s="207">
        <v>609</v>
      </c>
      <c r="C26" s="207">
        <v>-23.45</v>
      </c>
      <c r="D26" s="232">
        <f t="shared" si="0"/>
        <v>3.8505747126436778E-2</v>
      </c>
      <c r="G26" s="232"/>
    </row>
    <row r="27" spans="1:7" x14ac:dyDescent="0.3">
      <c r="A27" s="237">
        <v>45692</v>
      </c>
      <c r="B27" s="249">
        <v>1380</v>
      </c>
      <c r="C27" s="249">
        <v>-45.75</v>
      </c>
      <c r="D27" s="250">
        <f t="shared" si="0"/>
        <v>3.3152173913043481E-2</v>
      </c>
      <c r="E27" s="251">
        <f>SUM(B24:B27)</f>
        <v>2337</v>
      </c>
      <c r="F27" s="251">
        <f>SUM(C24:C27)</f>
        <v>-81.97999999999999</v>
      </c>
      <c r="G27" s="250">
        <f>AVERAGE(D24:D27)</f>
        <v>3.6276549225387304E-2</v>
      </c>
    </row>
    <row r="28" spans="1:7" x14ac:dyDescent="0.3">
      <c r="A28" s="242">
        <v>45717</v>
      </c>
      <c r="B28" s="207">
        <v>168</v>
      </c>
      <c r="C28" s="207">
        <v>-6.18</v>
      </c>
      <c r="D28" s="232">
        <f t="shared" si="0"/>
        <v>3.6785714285714283E-2</v>
      </c>
      <c r="G28" s="232"/>
    </row>
    <row r="29" spans="1:7" x14ac:dyDescent="0.3">
      <c r="A29" s="242">
        <v>45717</v>
      </c>
      <c r="B29" s="207">
        <v>690</v>
      </c>
      <c r="C29" s="207">
        <f>-24.45</f>
        <v>-24.45</v>
      </c>
      <c r="D29" s="232">
        <f t="shared" si="0"/>
        <v>3.5434782608695654E-2</v>
      </c>
      <c r="G29" s="232"/>
    </row>
    <row r="30" spans="1:7" x14ac:dyDescent="0.3">
      <c r="A30" s="242">
        <v>45717</v>
      </c>
      <c r="B30" s="207">
        <v>348</v>
      </c>
      <c r="C30" s="207">
        <v>-12.78</v>
      </c>
      <c r="D30" s="232">
        <f t="shared" si="0"/>
        <v>3.6724137931034483E-2</v>
      </c>
      <c r="G30" s="232"/>
    </row>
    <row r="31" spans="1:7" x14ac:dyDescent="0.3">
      <c r="A31" s="242">
        <v>45717</v>
      </c>
      <c r="B31" s="207">
        <v>174</v>
      </c>
      <c r="C31" s="207">
        <v>-6.39</v>
      </c>
      <c r="D31" s="232">
        <f t="shared" si="0"/>
        <v>3.6724137931034483E-2</v>
      </c>
      <c r="G31" s="232"/>
    </row>
    <row r="32" spans="1:7" x14ac:dyDescent="0.3">
      <c r="A32" s="242">
        <v>45717</v>
      </c>
      <c r="B32" s="207">
        <v>870</v>
      </c>
      <c r="C32" s="207">
        <v>-32.880000000000003</v>
      </c>
      <c r="D32" s="232">
        <f t="shared" si="0"/>
        <v>3.7793103448275862E-2</v>
      </c>
      <c r="G32" s="232"/>
    </row>
    <row r="33" spans="1:7" x14ac:dyDescent="0.3">
      <c r="A33" s="242">
        <v>45717</v>
      </c>
      <c r="B33" s="207">
        <v>35</v>
      </c>
      <c r="C33" s="207">
        <v>-0.35</v>
      </c>
      <c r="D33" s="232">
        <f t="shared" si="0"/>
        <v>0.01</v>
      </c>
      <c r="G33" s="232"/>
    </row>
    <row r="34" spans="1:7" x14ac:dyDescent="0.3">
      <c r="A34" s="242">
        <v>45717</v>
      </c>
      <c r="B34" s="207">
        <v>174</v>
      </c>
      <c r="C34" s="207">
        <v>-6.39</v>
      </c>
      <c r="D34" s="232">
        <f t="shared" si="0"/>
        <v>3.6724137931034483E-2</v>
      </c>
      <c r="G34" s="232"/>
    </row>
    <row r="35" spans="1:7" x14ac:dyDescent="0.3">
      <c r="A35" s="242">
        <v>45718</v>
      </c>
      <c r="B35" s="207">
        <v>348</v>
      </c>
      <c r="C35" s="207">
        <v>-12.48</v>
      </c>
      <c r="D35" s="232">
        <f t="shared" si="0"/>
        <v>3.5862068965517239E-2</v>
      </c>
      <c r="G35" s="232"/>
    </row>
    <row r="36" spans="1:7" x14ac:dyDescent="0.3">
      <c r="A36" s="242">
        <v>45719</v>
      </c>
      <c r="B36" s="207">
        <v>174</v>
      </c>
      <c r="C36" s="207">
        <v>-6.39</v>
      </c>
      <c r="D36" s="232">
        <f t="shared" si="0"/>
        <v>3.6724137931034483E-2</v>
      </c>
      <c r="G36" s="232"/>
    </row>
    <row r="37" spans="1:7" x14ac:dyDescent="0.3">
      <c r="A37" s="242">
        <v>45720</v>
      </c>
      <c r="B37" s="252">
        <v>2064</v>
      </c>
      <c r="C37" s="252">
        <v>-73.739999999999995</v>
      </c>
      <c r="D37" s="253">
        <f t="shared" si="0"/>
        <v>3.5726744186046509E-2</v>
      </c>
      <c r="E37" s="252">
        <f>SUM(B28:B37)</f>
        <v>5045</v>
      </c>
      <c r="F37" s="252">
        <f>SUM(C28:C37)</f>
        <v>-182.03</v>
      </c>
      <c r="G37" s="253">
        <f>AVERAGE(D28:D37)</f>
        <v>3.3849896521838743E-2</v>
      </c>
    </row>
    <row r="38" spans="1:7" x14ac:dyDescent="0.3">
      <c r="A38" s="243">
        <v>45748</v>
      </c>
      <c r="B38" s="207">
        <v>522</v>
      </c>
      <c r="C38" s="207">
        <v>-20.100000000000001</v>
      </c>
      <c r="D38" s="232">
        <f t="shared" si="0"/>
        <v>3.8505747126436785E-2</v>
      </c>
      <c r="G38" s="232"/>
    </row>
    <row r="39" spans="1:7" x14ac:dyDescent="0.3">
      <c r="A39" s="243">
        <v>45749</v>
      </c>
      <c r="B39" s="207">
        <v>174</v>
      </c>
      <c r="C39" s="207">
        <v>-6.39</v>
      </c>
      <c r="D39" s="232">
        <f t="shared" si="0"/>
        <v>3.6724137931034483E-2</v>
      </c>
      <c r="G39" s="232"/>
    </row>
    <row r="40" spans="1:7" x14ac:dyDescent="0.3">
      <c r="A40" s="243">
        <v>45750</v>
      </c>
      <c r="B40" s="254">
        <v>174</v>
      </c>
      <c r="C40" s="254">
        <v>-6.39</v>
      </c>
      <c r="D40" s="255">
        <f t="shared" si="0"/>
        <v>3.6724137931034483E-2</v>
      </c>
      <c r="E40" s="254">
        <f>SUM(B38:B40)</f>
        <v>870</v>
      </c>
      <c r="F40" s="254">
        <f>SUM(C38:C40)</f>
        <v>-32.880000000000003</v>
      </c>
      <c r="G40" s="255">
        <f>AVERAGE(D38:D40)</f>
        <v>3.7318007662835252E-2</v>
      </c>
    </row>
    <row r="41" spans="1:7" x14ac:dyDescent="0.3">
      <c r="A41" s="244">
        <v>45778</v>
      </c>
      <c r="B41" s="207">
        <v>632</v>
      </c>
      <c r="C41" s="207">
        <v>-23.32</v>
      </c>
      <c r="D41" s="245">
        <f t="shared" si="0"/>
        <v>3.6898734177215189E-2</v>
      </c>
      <c r="G41" s="245"/>
    </row>
    <row r="42" spans="1:7" x14ac:dyDescent="0.3">
      <c r="A42" s="244">
        <v>45779</v>
      </c>
      <c r="B42" s="207">
        <v>348</v>
      </c>
      <c r="C42" s="207">
        <v>-12.78</v>
      </c>
      <c r="D42" s="245">
        <f t="shared" si="0"/>
        <v>3.6724137931034483E-2</v>
      </c>
      <c r="G42" s="245"/>
    </row>
    <row r="43" spans="1:7" x14ac:dyDescent="0.3">
      <c r="A43" s="244">
        <v>45780</v>
      </c>
      <c r="B43" s="207">
        <v>498</v>
      </c>
      <c r="C43" s="207">
        <v>-18.329999999999998</v>
      </c>
      <c r="D43" s="245">
        <f t="shared" si="0"/>
        <v>3.6807228915662647E-2</v>
      </c>
      <c r="G43" s="245"/>
    </row>
    <row r="44" spans="1:7" x14ac:dyDescent="0.3">
      <c r="A44" s="244">
        <v>45781</v>
      </c>
      <c r="B44" s="207">
        <v>522</v>
      </c>
      <c r="C44" s="207">
        <v>-18.87</v>
      </c>
      <c r="D44" s="245">
        <f t="shared" si="0"/>
        <v>3.6149425287356325E-2</v>
      </c>
      <c r="G44" s="245"/>
    </row>
    <row r="45" spans="1:7" x14ac:dyDescent="0.3">
      <c r="A45" s="244">
        <v>45782</v>
      </c>
      <c r="B45" s="207">
        <v>379.1</v>
      </c>
      <c r="C45" s="207">
        <v>-13.57</v>
      </c>
      <c r="D45" s="245">
        <f t="shared" si="0"/>
        <v>3.5795304668952782E-2</v>
      </c>
    </row>
    <row r="46" spans="1:7" x14ac:dyDescent="0.3">
      <c r="A46" s="244">
        <v>45783</v>
      </c>
      <c r="B46" s="207">
        <v>516</v>
      </c>
      <c r="C46" s="207">
        <v>-18.96</v>
      </c>
      <c r="D46" s="245">
        <f t="shared" si="0"/>
        <v>3.6744186046511633E-2</v>
      </c>
    </row>
    <row r="47" spans="1:7" x14ac:dyDescent="0.3">
      <c r="A47" s="244">
        <v>45784</v>
      </c>
      <c r="B47" s="207">
        <v>558</v>
      </c>
      <c r="C47" s="207">
        <v>-21.66</v>
      </c>
      <c r="D47" s="245">
        <f t="shared" si="0"/>
        <v>3.881720430107527E-2</v>
      </c>
    </row>
    <row r="48" spans="1:7" x14ac:dyDescent="0.3">
      <c r="A48" s="244">
        <v>45785</v>
      </c>
      <c r="B48" s="207">
        <v>174</v>
      </c>
      <c r="C48" s="207">
        <v>-6.39</v>
      </c>
      <c r="D48" s="245">
        <f t="shared" si="0"/>
        <v>3.6724137931034483E-2</v>
      </c>
    </row>
    <row r="49" spans="1:7" x14ac:dyDescent="0.3">
      <c r="A49" s="244">
        <v>45786</v>
      </c>
      <c r="B49" s="207">
        <v>301.2</v>
      </c>
      <c r="C49" s="207">
        <v>-10.84</v>
      </c>
      <c r="D49" s="245">
        <f t="shared" si="0"/>
        <v>3.5989375830013284E-2</v>
      </c>
    </row>
    <row r="50" spans="1:7" x14ac:dyDescent="0.3">
      <c r="A50" s="244">
        <v>45787</v>
      </c>
      <c r="B50" s="256">
        <v>174</v>
      </c>
      <c r="C50" s="256">
        <v>-6.39</v>
      </c>
      <c r="D50" s="257">
        <f t="shared" si="0"/>
        <v>3.6724137931034483E-2</v>
      </c>
      <c r="E50" s="256">
        <f>SUM(B41:B50)</f>
        <v>4102.2999999999993</v>
      </c>
      <c r="F50" s="256">
        <f>SUM(C41:C50)</f>
        <v>-151.10999999999999</v>
      </c>
      <c r="G50" s="258">
        <f>AVERAGE(D41:D50)</f>
        <v>3.6737387301989055E-2</v>
      </c>
    </row>
    <row r="51" spans="1:7" x14ac:dyDescent="0.3">
      <c r="A51" s="284">
        <v>45809</v>
      </c>
      <c r="B51" s="207">
        <v>174</v>
      </c>
      <c r="C51" s="207">
        <v>-6.39</v>
      </c>
      <c r="D51" s="245">
        <f t="shared" si="0"/>
        <v>3.6724137931034483E-2</v>
      </c>
    </row>
    <row r="52" spans="1:7" x14ac:dyDescent="0.3">
      <c r="A52" s="284">
        <v>45809</v>
      </c>
      <c r="B52" s="285">
        <v>558</v>
      </c>
      <c r="C52" s="285">
        <v>-21.66</v>
      </c>
      <c r="D52" s="286">
        <f t="shared" si="0"/>
        <v>3.881720430107527E-2</v>
      </c>
      <c r="E52" s="285">
        <f>SUM(B51:B52)</f>
        <v>732</v>
      </c>
      <c r="F52" s="285">
        <f>SUM(C51:C52)</f>
        <v>-28.05</v>
      </c>
      <c r="G52" s="287">
        <f>AVERAGE(D51:D52)</f>
        <v>3.777067111605488E-2</v>
      </c>
    </row>
    <row r="53" spans="1:7" x14ac:dyDescent="0.3">
      <c r="A53" s="288">
        <v>45839</v>
      </c>
      <c r="B53" s="207">
        <v>194.16</v>
      </c>
      <c r="C53" s="207">
        <v>-7.1</v>
      </c>
      <c r="D53" s="245">
        <f t="shared" si="0"/>
        <v>3.6567779151215493E-2</v>
      </c>
    </row>
    <row r="54" spans="1:7" x14ac:dyDescent="0.3">
      <c r="A54" s="288">
        <v>45840</v>
      </c>
      <c r="B54" s="207">
        <v>174</v>
      </c>
      <c r="C54" s="207">
        <v>-6.39</v>
      </c>
      <c r="D54" s="245">
        <f t="shared" si="0"/>
        <v>3.6724137931034483E-2</v>
      </c>
    </row>
    <row r="55" spans="1:7" x14ac:dyDescent="0.3">
      <c r="A55" s="288">
        <v>45841</v>
      </c>
      <c r="B55" s="207">
        <v>1602</v>
      </c>
      <c r="C55" s="207">
        <v>-58.77</v>
      </c>
      <c r="D55" s="245">
        <f t="shared" si="0"/>
        <v>3.6685393258426971E-2</v>
      </c>
    </row>
    <row r="56" spans="1:7" x14ac:dyDescent="0.3">
      <c r="A56" s="288">
        <v>45842</v>
      </c>
      <c r="B56" s="207">
        <v>174</v>
      </c>
      <c r="C56" s="207">
        <v>-6.39</v>
      </c>
      <c r="D56" s="245">
        <f t="shared" si="0"/>
        <v>3.6724137931034483E-2</v>
      </c>
    </row>
    <row r="57" spans="1:7" x14ac:dyDescent="0.3">
      <c r="A57" s="288">
        <v>45843</v>
      </c>
      <c r="B57" s="207">
        <v>503</v>
      </c>
      <c r="C57" s="207">
        <v>-18.21</v>
      </c>
      <c r="D57" s="245">
        <f t="shared" si="0"/>
        <v>3.6202783300198806E-2</v>
      </c>
    </row>
    <row r="58" spans="1:7" x14ac:dyDescent="0.3">
      <c r="A58" s="288">
        <v>45844</v>
      </c>
      <c r="B58" s="207">
        <v>522</v>
      </c>
      <c r="C58" s="207">
        <v>-19.170000000000002</v>
      </c>
      <c r="D58" s="245">
        <f t="shared" si="0"/>
        <v>3.6724137931034483E-2</v>
      </c>
    </row>
    <row r="59" spans="1:7" x14ac:dyDescent="0.3">
      <c r="A59" s="288">
        <v>45845</v>
      </c>
      <c r="B59" s="207">
        <v>174</v>
      </c>
      <c r="C59" s="207">
        <v>-6.39</v>
      </c>
      <c r="D59" s="245">
        <f t="shared" si="0"/>
        <v>3.6724137931034483E-2</v>
      </c>
    </row>
    <row r="60" spans="1:7" x14ac:dyDescent="0.3">
      <c r="A60" s="288">
        <v>45846</v>
      </c>
      <c r="B60" s="207">
        <v>747</v>
      </c>
      <c r="C60" s="207">
        <v>-28.58</v>
      </c>
      <c r="D60" s="245">
        <f t="shared" si="0"/>
        <v>3.8259705488621149E-2</v>
      </c>
    </row>
    <row r="61" spans="1:7" x14ac:dyDescent="0.3">
      <c r="A61" s="288">
        <v>45847</v>
      </c>
      <c r="B61" s="207">
        <v>174</v>
      </c>
      <c r="C61" s="207">
        <v>-6.39</v>
      </c>
      <c r="D61" s="245">
        <f t="shared" si="0"/>
        <v>3.6724137931034483E-2</v>
      </c>
    </row>
    <row r="62" spans="1:7" x14ac:dyDescent="0.3">
      <c r="A62" s="288">
        <v>45848</v>
      </c>
      <c r="B62" s="207">
        <v>522</v>
      </c>
      <c r="C62" s="207">
        <v>-18.87</v>
      </c>
      <c r="D62" s="245">
        <f t="shared" si="0"/>
        <v>3.6149425287356325E-2</v>
      </c>
    </row>
    <row r="63" spans="1:7" x14ac:dyDescent="0.3">
      <c r="A63" s="288">
        <v>45849</v>
      </c>
      <c r="B63" s="207">
        <v>50</v>
      </c>
      <c r="C63" s="207">
        <v>-2.0499999999999998</v>
      </c>
      <c r="D63" s="245">
        <f t="shared" si="0"/>
        <v>4.0999999999999995E-2</v>
      </c>
    </row>
    <row r="64" spans="1:7" x14ac:dyDescent="0.3">
      <c r="A64" s="288">
        <v>45850</v>
      </c>
      <c r="B64" s="289">
        <v>174</v>
      </c>
      <c r="C64" s="289">
        <v>-6.39</v>
      </c>
      <c r="D64" s="290">
        <f t="shared" si="0"/>
        <v>3.6724137931034483E-2</v>
      </c>
      <c r="E64" s="289">
        <f>SUM(B53:B64)</f>
        <v>5010.16</v>
      </c>
      <c r="F64" s="289">
        <f>SUM(C53:C64)</f>
        <v>-184.7</v>
      </c>
      <c r="G64" s="291">
        <f>AVERAGE(D53:D64)</f>
        <v>3.7100826172668792E-2</v>
      </c>
    </row>
    <row r="65" spans="1:7" x14ac:dyDescent="0.3">
      <c r="A65" s="324">
        <v>45870</v>
      </c>
      <c r="B65" s="207">
        <v>609</v>
      </c>
      <c r="C65" s="207">
        <v>-23.45</v>
      </c>
      <c r="D65" s="245">
        <f t="shared" si="0"/>
        <v>3.8505747126436778E-2</v>
      </c>
    </row>
    <row r="66" spans="1:7" x14ac:dyDescent="0.3">
      <c r="A66" s="324">
        <v>45871</v>
      </c>
      <c r="B66" s="325">
        <v>174</v>
      </c>
      <c r="C66" s="325">
        <v>-1.74</v>
      </c>
      <c r="D66" s="326">
        <f t="shared" si="0"/>
        <v>0.01</v>
      </c>
      <c r="E66" s="328">
        <f>SUM(B65:B66)</f>
        <v>783</v>
      </c>
      <c r="F66" s="328">
        <f>SUM(C65:C66)</f>
        <v>-25.189999999999998</v>
      </c>
      <c r="G66" s="327">
        <f>AVERAGE(D65:D66)</f>
        <v>2.425287356321839E-2</v>
      </c>
    </row>
    <row r="67" spans="1:7" x14ac:dyDescent="0.3">
      <c r="A67" s="341">
        <v>45901</v>
      </c>
      <c r="B67" s="370">
        <f>2307</f>
        <v>2307</v>
      </c>
      <c r="C67" s="370">
        <f>-83.45</f>
        <v>-83.45</v>
      </c>
      <c r="D67" s="245">
        <f t="shared" si="0"/>
        <v>3.6172518422193323E-2</v>
      </c>
    </row>
    <row r="68" spans="1:7" x14ac:dyDescent="0.3">
      <c r="A68" s="341">
        <v>45902</v>
      </c>
      <c r="B68" s="370">
        <v>174</v>
      </c>
      <c r="C68" s="370">
        <v>-6.39</v>
      </c>
      <c r="D68" s="245">
        <f t="shared" ref="D68:D79" si="1">-C68/B68</f>
        <v>3.6724137931034483E-2</v>
      </c>
    </row>
    <row r="69" spans="1:7" x14ac:dyDescent="0.3">
      <c r="A69" s="341">
        <v>45903</v>
      </c>
      <c r="B69" s="370">
        <v>174</v>
      </c>
      <c r="C69" s="370">
        <v>-6.39</v>
      </c>
      <c r="D69" s="245">
        <f t="shared" si="1"/>
        <v>3.6724137931034483E-2</v>
      </c>
    </row>
    <row r="70" spans="1:7" x14ac:dyDescent="0.3">
      <c r="A70" s="341">
        <v>45904</v>
      </c>
      <c r="B70" s="370">
        <v>174</v>
      </c>
      <c r="C70" s="370">
        <v>-6.39</v>
      </c>
      <c r="D70" s="245">
        <f t="shared" si="1"/>
        <v>3.6724137931034483E-2</v>
      </c>
    </row>
    <row r="71" spans="1:7" x14ac:dyDescent="0.3">
      <c r="A71" s="341">
        <v>45905</v>
      </c>
      <c r="B71" s="370">
        <v>957</v>
      </c>
      <c r="C71" s="370">
        <v>-36.229999999999997</v>
      </c>
      <c r="D71" s="245">
        <f t="shared" si="1"/>
        <v>3.7857889237199578E-2</v>
      </c>
    </row>
    <row r="72" spans="1:7" x14ac:dyDescent="0.3">
      <c r="A72" s="341">
        <v>45906</v>
      </c>
      <c r="B72" s="370">
        <v>174</v>
      </c>
      <c r="C72" s="370">
        <v>-6.39</v>
      </c>
      <c r="D72" s="245">
        <f t="shared" si="1"/>
        <v>3.6724137931034483E-2</v>
      </c>
    </row>
    <row r="73" spans="1:7" x14ac:dyDescent="0.3">
      <c r="A73" s="341">
        <v>45907</v>
      </c>
      <c r="B73" s="370">
        <v>174</v>
      </c>
      <c r="C73" s="370">
        <v>-6.39</v>
      </c>
      <c r="D73" s="245">
        <f t="shared" si="1"/>
        <v>3.6724137931034483E-2</v>
      </c>
    </row>
    <row r="74" spans="1:7" x14ac:dyDescent="0.3">
      <c r="A74" s="341">
        <v>45908</v>
      </c>
      <c r="B74" s="370">
        <v>174</v>
      </c>
      <c r="C74" s="370">
        <v>-6.39</v>
      </c>
      <c r="D74" s="245">
        <f t="shared" ref="D74" si="2">-C74/B74</f>
        <v>3.6724137931034483E-2</v>
      </c>
      <c r="E74" s="376"/>
      <c r="F74" s="376"/>
      <c r="G74" s="376"/>
    </row>
    <row r="75" spans="1:7" x14ac:dyDescent="0.3">
      <c r="A75" s="341">
        <v>45909</v>
      </c>
      <c r="B75" s="370">
        <v>174</v>
      </c>
      <c r="C75" s="370">
        <v>-6.39</v>
      </c>
      <c r="D75" s="245">
        <f t="shared" si="1"/>
        <v>3.6724137931034483E-2</v>
      </c>
      <c r="E75" s="370"/>
      <c r="F75" s="370"/>
      <c r="G75" s="375"/>
    </row>
    <row r="76" spans="1:7" s="376" customFormat="1" x14ac:dyDescent="0.3">
      <c r="A76" s="341">
        <v>45910</v>
      </c>
      <c r="B76" s="370">
        <v>175</v>
      </c>
      <c r="C76" s="370">
        <v>-7.65</v>
      </c>
      <c r="D76" s="245">
        <f t="shared" si="1"/>
        <v>4.3714285714285719E-2</v>
      </c>
      <c r="E76" s="370"/>
      <c r="F76" s="370"/>
      <c r="G76" s="375"/>
    </row>
    <row r="77" spans="1:7" s="376" customFormat="1" x14ac:dyDescent="0.3">
      <c r="A77" s="341">
        <v>45911</v>
      </c>
      <c r="B77" s="370">
        <v>105</v>
      </c>
      <c r="C77" s="370">
        <v>-4.59</v>
      </c>
      <c r="D77" s="245">
        <f t="shared" si="1"/>
        <v>4.3714285714285712E-2</v>
      </c>
      <c r="E77" s="370"/>
      <c r="F77" s="370"/>
      <c r="G77" s="375"/>
    </row>
    <row r="78" spans="1:7" s="376" customFormat="1" x14ac:dyDescent="0.3">
      <c r="A78" s="341">
        <v>45912</v>
      </c>
      <c r="B78" s="370">
        <v>35</v>
      </c>
      <c r="C78" s="370">
        <v>-1.53</v>
      </c>
      <c r="D78" s="245">
        <f t="shared" si="1"/>
        <v>4.3714285714285712E-2</v>
      </c>
      <c r="E78" s="370"/>
      <c r="F78" s="370"/>
      <c r="G78" s="375"/>
    </row>
    <row r="79" spans="1:7" s="376" customFormat="1" x14ac:dyDescent="0.3">
      <c r="A79" s="341">
        <v>45913</v>
      </c>
      <c r="B79" s="372">
        <v>209</v>
      </c>
      <c r="C79" s="372">
        <v>-7.92</v>
      </c>
      <c r="D79" s="373">
        <f t="shared" si="1"/>
        <v>3.7894736842105266E-2</v>
      </c>
      <c r="E79" s="372">
        <f>SUM(B67:B79)</f>
        <v>5006</v>
      </c>
      <c r="F79" s="372">
        <f>SUM(C67:C79)</f>
        <v>-186.09999999999994</v>
      </c>
      <c r="G79" s="374">
        <f>AVERAGE(D67:D79)</f>
        <v>3.8472074397045891E-2</v>
      </c>
    </row>
    <row r="80" spans="1:7" s="376" customFormat="1" x14ac:dyDescent="0.3">
      <c r="A80" s="371"/>
      <c r="B80" s="370"/>
      <c r="C80" s="370"/>
      <c r="D80" s="245"/>
      <c r="E80" s="370"/>
      <c r="F80" s="370"/>
      <c r="G80" s="375"/>
    </row>
    <row r="81" spans="1:7" s="376" customFormat="1" x14ac:dyDescent="0.3">
      <c r="A81" s="371"/>
      <c r="B81" s="370"/>
      <c r="C81" s="370"/>
      <c r="D81" s="245"/>
      <c r="E81" s="370"/>
      <c r="F81" s="370"/>
      <c r="G81" s="375"/>
    </row>
    <row r="82" spans="1:7" x14ac:dyDescent="0.3">
      <c r="A82" s="371"/>
      <c r="B82" s="370"/>
      <c r="C82" s="370"/>
    </row>
    <row r="83" spans="1:7" x14ac:dyDescent="0.3">
      <c r="A83" s="35" t="s">
        <v>25</v>
      </c>
      <c r="B83" s="267">
        <f>SUM(B2:B82)</f>
        <v>32110.46</v>
      </c>
      <c r="C83" s="267">
        <f>SUM(C2:C82)</f>
        <v>-1167.9500000000007</v>
      </c>
      <c r="D83" s="268">
        <f>-C83/B83</f>
        <v>3.6372882854994938E-2</v>
      </c>
      <c r="E83" s="267">
        <f>SUM(E2:E82)</f>
        <v>32110.46</v>
      </c>
      <c r="F83" s="267">
        <f>SUM(F2:F82)</f>
        <v>-1167.9499999999998</v>
      </c>
      <c r="G83" s="268">
        <f>-F83/E83</f>
        <v>3.637288285499491E-2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4729C-62A3-4ABF-BBE1-8F2254EE5669}">
  <sheetPr>
    <tabColor theme="8" tint="0.59999389629810485"/>
  </sheetPr>
  <dimension ref="A1:I52"/>
  <sheetViews>
    <sheetView zoomScaleNormal="100" workbookViewId="0">
      <pane ySplit="3" topLeftCell="A25" activePane="bottomLeft" state="frozen"/>
      <selection pane="bottomLeft" activeCell="P40" sqref="P40"/>
    </sheetView>
  </sheetViews>
  <sheetFormatPr defaultRowHeight="17.399999999999999" x14ac:dyDescent="0.3"/>
  <cols>
    <col min="1" max="1" width="3.23046875" style="1" customWidth="1"/>
    <col min="2" max="2" width="19.84375" style="1" customWidth="1"/>
    <col min="3" max="3" width="7.61328125" style="1" customWidth="1"/>
    <col min="4" max="4" width="6.69140625" style="57" customWidth="1"/>
    <col min="5" max="5" width="7.4609375" style="1" customWidth="1"/>
    <col min="6" max="7" width="6.84375" style="1" bestFit="1" customWidth="1"/>
    <col min="9" max="16384" width="9.23046875" style="1"/>
  </cols>
  <sheetData>
    <row r="1" spans="1:9" s="2" customFormat="1" ht="13.8" x14ac:dyDescent="0.3">
      <c r="A1" s="347" t="s">
        <v>248</v>
      </c>
      <c r="B1" s="347"/>
      <c r="C1" s="347"/>
      <c r="D1" s="347"/>
      <c r="E1" s="347"/>
      <c r="F1" s="347"/>
      <c r="G1" s="347"/>
    </row>
    <row r="2" spans="1:9" ht="28.8" customHeight="1" x14ac:dyDescent="0.3">
      <c r="A2" s="150"/>
      <c r="B2" s="198"/>
      <c r="D2" s="1"/>
      <c r="G2" s="141"/>
    </row>
    <row r="3" spans="1:9" s="6" customFormat="1" ht="13.8" x14ac:dyDescent="0.3">
      <c r="A3" s="3" t="s">
        <v>27</v>
      </c>
      <c r="B3" s="4"/>
      <c r="C3" s="17" t="s">
        <v>226</v>
      </c>
      <c r="D3" s="17" t="s">
        <v>227</v>
      </c>
      <c r="E3" s="17" t="s">
        <v>147</v>
      </c>
      <c r="F3" s="17" t="s">
        <v>134</v>
      </c>
      <c r="G3" s="17" t="s">
        <v>171</v>
      </c>
      <c r="I3" s="5"/>
    </row>
    <row r="4" spans="1:9" x14ac:dyDescent="0.3">
      <c r="B4" s="27" t="s">
        <v>228</v>
      </c>
      <c r="C4" s="19">
        <f>48949.51+210</f>
        <v>49159.51</v>
      </c>
      <c r="D4" s="19">
        <v>53340</v>
      </c>
      <c r="E4" s="19">
        <v>56135.1</v>
      </c>
      <c r="F4" s="19">
        <v>68245</v>
      </c>
      <c r="G4" s="19">
        <v>81870</v>
      </c>
      <c r="I4" s="194"/>
    </row>
    <row r="5" spans="1:9" x14ac:dyDescent="0.3">
      <c r="B5" s="18" t="s">
        <v>28</v>
      </c>
      <c r="C5" s="19">
        <v>600</v>
      </c>
      <c r="D5" s="19">
        <v>1350</v>
      </c>
      <c r="E5" s="19">
        <v>1577.5</v>
      </c>
      <c r="F5" s="19">
        <v>150</v>
      </c>
      <c r="G5" s="19">
        <v>300</v>
      </c>
    </row>
    <row r="6" spans="1:9" ht="18" thickBot="1" x14ac:dyDescent="0.35">
      <c r="B6" s="21" t="s">
        <v>29</v>
      </c>
      <c r="C6" s="22">
        <v>0.01</v>
      </c>
      <c r="D6" s="22"/>
      <c r="E6" s="22">
        <v>34.799999999999997</v>
      </c>
      <c r="F6" s="22">
        <v>69.569999999999993</v>
      </c>
      <c r="G6" s="22">
        <v>78.64</v>
      </c>
    </row>
    <row r="7" spans="1:9" ht="18" thickBot="1" x14ac:dyDescent="0.35">
      <c r="B7" s="9" t="s">
        <v>31</v>
      </c>
      <c r="C7" s="10">
        <f t="shared" ref="C7:G7" si="0">SUM(C4:C6)</f>
        <v>49759.520000000004</v>
      </c>
      <c r="D7" s="10">
        <f t="shared" si="0"/>
        <v>54690</v>
      </c>
      <c r="E7" s="10">
        <f t="shared" si="0"/>
        <v>57747.4</v>
      </c>
      <c r="F7" s="10">
        <f t="shared" si="0"/>
        <v>68464.570000000007</v>
      </c>
      <c r="G7" s="10">
        <f t="shared" si="0"/>
        <v>82248.639999999999</v>
      </c>
    </row>
    <row r="8" spans="1:9" x14ac:dyDescent="0.3">
      <c r="C8" s="8"/>
      <c r="D8" s="8"/>
      <c r="E8" s="8"/>
      <c r="F8" s="8"/>
      <c r="G8" s="12"/>
    </row>
    <row r="9" spans="1:9" s="6" customFormat="1" ht="13.8" x14ac:dyDescent="0.3">
      <c r="A9" s="3" t="s">
        <v>8</v>
      </c>
      <c r="B9" s="5"/>
      <c r="C9" s="17" t="s">
        <v>226</v>
      </c>
      <c r="D9" s="17" t="s">
        <v>227</v>
      </c>
      <c r="E9" s="17" t="s">
        <v>147</v>
      </c>
      <c r="F9" s="17" t="s">
        <v>134</v>
      </c>
      <c r="G9" s="17" t="s">
        <v>171</v>
      </c>
    </row>
    <row r="10" spans="1:9" x14ac:dyDescent="0.3">
      <c r="A10" s="14" t="s">
        <v>0</v>
      </c>
      <c r="B10" s="14"/>
      <c r="C10" s="7"/>
      <c r="D10" s="7"/>
      <c r="E10" s="7"/>
      <c r="F10" s="7"/>
      <c r="G10" s="13"/>
    </row>
    <row r="11" spans="1:9" x14ac:dyDescent="0.3">
      <c r="B11" s="18" t="s">
        <v>10</v>
      </c>
      <c r="C11" s="19">
        <f>50.64+7100</f>
        <v>7150.64</v>
      </c>
      <c r="D11" s="19">
        <f>59.97+6611.51</f>
        <v>6671.4800000000005</v>
      </c>
      <c r="E11" s="19">
        <f>8778.75</f>
        <v>8778.75</v>
      </c>
      <c r="F11" s="19">
        <v>9508.74</v>
      </c>
      <c r="G11" s="19">
        <v>10200</v>
      </c>
    </row>
    <row r="12" spans="1:9" x14ac:dyDescent="0.3">
      <c r="B12" s="18" t="s">
        <v>246</v>
      </c>
      <c r="C12" s="197"/>
      <c r="D12" s="197"/>
      <c r="E12" s="197"/>
      <c r="F12" s="197"/>
      <c r="G12" s="19">
        <f>167.57+30</f>
        <v>197.57</v>
      </c>
    </row>
    <row r="13" spans="1:9" x14ac:dyDescent="0.3">
      <c r="B13" s="18" t="s">
        <v>34</v>
      </c>
      <c r="C13" s="19">
        <f>50</f>
        <v>50</v>
      </c>
      <c r="D13" s="19">
        <v>50</v>
      </c>
      <c r="E13" s="19"/>
      <c r="F13" s="19">
        <v>50</v>
      </c>
      <c r="G13" s="19">
        <v>0</v>
      </c>
    </row>
    <row r="14" spans="1:9" x14ac:dyDescent="0.3">
      <c r="B14" s="18" t="s">
        <v>247</v>
      </c>
      <c r="C14" s="19">
        <v>205</v>
      </c>
      <c r="D14" s="19">
        <v>235</v>
      </c>
      <c r="E14" s="19">
        <v>159</v>
      </c>
      <c r="F14" s="19"/>
      <c r="G14" s="19">
        <v>213.88</v>
      </c>
    </row>
    <row r="15" spans="1:9" x14ac:dyDescent="0.3">
      <c r="B15" s="18" t="s">
        <v>23</v>
      </c>
      <c r="C15" s="24"/>
      <c r="D15" s="19">
        <v>188</v>
      </c>
      <c r="E15" s="24">
        <v>212</v>
      </c>
      <c r="F15" s="19">
        <v>226</v>
      </c>
      <c r="G15" s="19">
        <f>232+5.1</f>
        <v>237.1</v>
      </c>
    </row>
    <row r="16" spans="1:9" x14ac:dyDescent="0.3">
      <c r="B16" s="18" t="s">
        <v>13</v>
      </c>
      <c r="C16" s="25">
        <f>303.67</f>
        <v>303.67</v>
      </c>
      <c r="D16" s="19">
        <v>229.72</v>
      </c>
      <c r="E16" s="25"/>
      <c r="F16" s="19">
        <v>117.85</v>
      </c>
      <c r="G16" s="19"/>
    </row>
    <row r="17" spans="1:7" x14ac:dyDescent="0.3">
      <c r="B17" s="18" t="s">
        <v>3</v>
      </c>
      <c r="C17" s="25">
        <f>360.8</f>
        <v>360.8</v>
      </c>
      <c r="D17" s="19"/>
      <c r="E17" s="25">
        <v>22.49</v>
      </c>
      <c r="F17" s="19"/>
      <c r="G17" s="19">
        <v>51.25</v>
      </c>
    </row>
    <row r="18" spans="1:7" x14ac:dyDescent="0.3">
      <c r="B18" s="18" t="s">
        <v>184</v>
      </c>
      <c r="C18" s="25"/>
      <c r="D18" s="19"/>
      <c r="E18" s="25"/>
      <c r="F18" s="19"/>
      <c r="G18" s="19"/>
    </row>
    <row r="19" spans="1:7" x14ac:dyDescent="0.3">
      <c r="B19" s="18" t="s">
        <v>16</v>
      </c>
      <c r="C19" s="24">
        <f>20.99</f>
        <v>20.99</v>
      </c>
      <c r="D19" s="19"/>
      <c r="E19" s="24"/>
      <c r="F19" s="19"/>
      <c r="G19" s="19">
        <v>167.88</v>
      </c>
    </row>
    <row r="20" spans="1:7" x14ac:dyDescent="0.3">
      <c r="B20" s="18" t="s">
        <v>1</v>
      </c>
      <c r="C20" s="24">
        <f>13</f>
        <v>13</v>
      </c>
      <c r="D20" s="19">
        <f>26.96</f>
        <v>26.96</v>
      </c>
      <c r="E20" s="24">
        <v>1500</v>
      </c>
      <c r="F20" s="19">
        <v>15</v>
      </c>
      <c r="G20" s="19"/>
    </row>
    <row r="21" spans="1:7" x14ac:dyDescent="0.3">
      <c r="A21" s="14" t="s">
        <v>26</v>
      </c>
      <c r="B21" s="14"/>
      <c r="C21" s="13"/>
      <c r="D21" s="7"/>
      <c r="E21" s="13"/>
      <c r="F21" s="13"/>
      <c r="G21" s="7"/>
    </row>
    <row r="22" spans="1:7" x14ac:dyDescent="0.3">
      <c r="B22" s="18" t="s">
        <v>185</v>
      </c>
      <c r="C22" s="24"/>
      <c r="D22" s="19"/>
      <c r="E22" s="19"/>
      <c r="F22" s="24">
        <v>30</v>
      </c>
      <c r="G22" s="19">
        <v>30</v>
      </c>
    </row>
    <row r="23" spans="1:7" x14ac:dyDescent="0.3">
      <c r="B23" s="18" t="s">
        <v>187</v>
      </c>
      <c r="C23" s="24"/>
      <c r="D23" s="19"/>
      <c r="E23" s="19"/>
      <c r="F23" s="24">
        <v>111.45</v>
      </c>
      <c r="G23" s="19">
        <v>30</v>
      </c>
    </row>
    <row r="24" spans="1:7" x14ac:dyDescent="0.3">
      <c r="B24" s="18" t="s">
        <v>12</v>
      </c>
      <c r="C24" s="24"/>
      <c r="D24" s="19"/>
      <c r="E24" s="19"/>
      <c r="F24" s="24"/>
      <c r="G24" s="19">
        <v>100</v>
      </c>
    </row>
    <row r="25" spans="1:7" x14ac:dyDescent="0.3">
      <c r="B25" s="18" t="s">
        <v>1</v>
      </c>
      <c r="C25" s="24">
        <v>295.76</v>
      </c>
      <c r="D25" s="19">
        <f>276.99</f>
        <v>276.99</v>
      </c>
      <c r="E25" s="19">
        <f>524.9</f>
        <v>524.9</v>
      </c>
      <c r="F25" s="24"/>
      <c r="G25" s="19"/>
    </row>
    <row r="26" spans="1:7" x14ac:dyDescent="0.3">
      <c r="A26" s="14" t="s">
        <v>2</v>
      </c>
      <c r="B26" s="14"/>
      <c r="C26" s="13"/>
      <c r="D26" s="7"/>
      <c r="E26" s="13"/>
      <c r="F26" s="13"/>
      <c r="G26" s="7"/>
    </row>
    <row r="27" spans="1:7" x14ac:dyDescent="0.3">
      <c r="B27" s="18" t="s">
        <v>17</v>
      </c>
      <c r="C27" s="19"/>
      <c r="D27" s="19"/>
      <c r="E27" s="19">
        <v>1399.08</v>
      </c>
      <c r="F27" s="19"/>
      <c r="G27" s="19"/>
    </row>
    <row r="28" spans="1:7" ht="27.6" x14ac:dyDescent="0.3">
      <c r="B28" s="27" t="s">
        <v>30</v>
      </c>
      <c r="C28" s="19"/>
      <c r="D28" s="19">
        <v>54.19</v>
      </c>
      <c r="E28" s="19"/>
      <c r="F28" s="19"/>
      <c r="G28" s="19">
        <v>1175</v>
      </c>
    </row>
    <row r="29" spans="1:7" x14ac:dyDescent="0.3">
      <c r="B29" s="18" t="s">
        <v>24</v>
      </c>
      <c r="C29" s="19">
        <v>412.2</v>
      </c>
      <c r="D29" s="19">
        <v>409.79</v>
      </c>
      <c r="E29" s="19">
        <v>83.57</v>
      </c>
      <c r="F29" s="19">
        <v>254.75</v>
      </c>
      <c r="G29" s="19">
        <v>371.4</v>
      </c>
    </row>
    <row r="30" spans="1:7" x14ac:dyDescent="0.3">
      <c r="B30" s="18" t="s">
        <v>33</v>
      </c>
      <c r="C30" s="19">
        <v>4213.17</v>
      </c>
      <c r="D30" s="19">
        <v>2903.44</v>
      </c>
      <c r="E30" s="19">
        <v>1885.3</v>
      </c>
      <c r="F30" s="19">
        <v>5255.88</v>
      </c>
      <c r="G30" s="19">
        <v>2769.86</v>
      </c>
    </row>
    <row r="31" spans="1:7" x14ac:dyDescent="0.3">
      <c r="B31" s="18" t="s">
        <v>18</v>
      </c>
      <c r="C31" s="19">
        <v>3364</v>
      </c>
      <c r="D31" s="19">
        <v>1989.54</v>
      </c>
      <c r="E31" s="19">
        <f>6162.15+585</f>
        <v>6747.15</v>
      </c>
      <c r="F31" s="19">
        <v>652.79999999999995</v>
      </c>
      <c r="G31" s="19">
        <v>1596</v>
      </c>
    </row>
    <row r="32" spans="1:7" x14ac:dyDescent="0.3">
      <c r="B32" s="18" t="s">
        <v>19</v>
      </c>
      <c r="C32" s="19">
        <v>4901.8999999999996</v>
      </c>
      <c r="D32" s="19"/>
      <c r="E32" s="19"/>
      <c r="F32" s="19">
        <v>4382.7700000000004</v>
      </c>
      <c r="G32" s="19">
        <v>4407.13</v>
      </c>
    </row>
    <row r="33" spans="1:7" x14ac:dyDescent="0.3">
      <c r="B33" s="18" t="s">
        <v>20</v>
      </c>
      <c r="C33" s="24">
        <v>2850</v>
      </c>
      <c r="D33" s="19">
        <v>700</v>
      </c>
      <c r="E33" s="24">
        <v>1347.84</v>
      </c>
      <c r="F33" s="24">
        <v>2612.66</v>
      </c>
      <c r="G33" s="19">
        <v>3260.43</v>
      </c>
    </row>
    <row r="34" spans="1:7" x14ac:dyDescent="0.3">
      <c r="B34" s="18" t="s">
        <v>1</v>
      </c>
      <c r="C34" s="24">
        <f>-250</f>
        <v>-250</v>
      </c>
      <c r="D34" s="19">
        <v>25</v>
      </c>
      <c r="E34" s="24"/>
      <c r="F34" s="24"/>
      <c r="G34" s="19">
        <f>2000+15</f>
        <v>2015</v>
      </c>
    </row>
    <row r="35" spans="1:7" x14ac:dyDescent="0.3">
      <c r="A35" s="14" t="s">
        <v>5</v>
      </c>
      <c r="B35" s="14"/>
      <c r="C35" s="13"/>
      <c r="D35" s="7"/>
      <c r="E35" s="13"/>
      <c r="F35" s="13"/>
      <c r="G35" s="7"/>
    </row>
    <row r="36" spans="1:7" x14ac:dyDescent="0.3">
      <c r="B36" s="18" t="s">
        <v>206</v>
      </c>
      <c r="C36" s="24">
        <f>2830</f>
        <v>2830</v>
      </c>
      <c r="D36" s="19">
        <v>2789</v>
      </c>
      <c r="E36" s="24">
        <v>3301</v>
      </c>
      <c r="F36" s="24">
        <v>3923</v>
      </c>
      <c r="G36" s="19">
        <v>4110</v>
      </c>
    </row>
    <row r="37" spans="1:7" x14ac:dyDescent="0.3">
      <c r="B37" s="18" t="s">
        <v>11</v>
      </c>
      <c r="C37" s="24">
        <f>544.5</f>
        <v>544.5</v>
      </c>
      <c r="D37" s="19">
        <v>447.98</v>
      </c>
      <c r="E37" s="24">
        <v>557.57000000000005</v>
      </c>
      <c r="F37" s="24">
        <v>470.46</v>
      </c>
      <c r="G37" s="19">
        <v>389.58</v>
      </c>
    </row>
    <row r="38" spans="1:7" x14ac:dyDescent="0.3">
      <c r="A38" s="14" t="s">
        <v>14</v>
      </c>
      <c r="B38" s="14"/>
      <c r="C38" s="13"/>
      <c r="D38" s="7"/>
      <c r="E38" s="13"/>
      <c r="F38" s="13"/>
      <c r="G38" s="7"/>
    </row>
    <row r="39" spans="1:7" x14ac:dyDescent="0.3">
      <c r="B39" s="18" t="s">
        <v>22</v>
      </c>
      <c r="C39" s="19">
        <v>1795.64</v>
      </c>
      <c r="D39" s="19">
        <f>702.04+8.75</f>
        <v>710.79</v>
      </c>
      <c r="E39" s="24">
        <v>22.75</v>
      </c>
      <c r="F39" s="24">
        <v>21</v>
      </c>
      <c r="G39" s="19">
        <v>29.25</v>
      </c>
    </row>
    <row r="40" spans="1:7" x14ac:dyDescent="0.3">
      <c r="B40" s="18" t="s">
        <v>102</v>
      </c>
      <c r="C40" s="19">
        <f>1044</f>
        <v>1044</v>
      </c>
      <c r="D40" s="19">
        <f>1316+1422.99</f>
        <v>2738.99</v>
      </c>
      <c r="E40" s="24">
        <v>1133.5</v>
      </c>
      <c r="F40" s="24">
        <v>1597.02</v>
      </c>
      <c r="G40" s="19">
        <v>1341.72</v>
      </c>
    </row>
    <row r="41" spans="1:7" x14ac:dyDescent="0.3">
      <c r="B41" s="18" t="s">
        <v>6</v>
      </c>
      <c r="C41" s="19">
        <v>5034.29</v>
      </c>
      <c r="D41" s="19">
        <v>3820.94</v>
      </c>
      <c r="E41" s="24">
        <v>1875.54</v>
      </c>
      <c r="F41" s="24">
        <v>2059.37</v>
      </c>
      <c r="G41" s="19">
        <v>2232.11</v>
      </c>
    </row>
    <row r="42" spans="1:7" x14ac:dyDescent="0.3">
      <c r="B42" s="18" t="s">
        <v>7</v>
      </c>
      <c r="C42" s="19">
        <v>11661.17</v>
      </c>
      <c r="D42" s="19">
        <v>14064.28</v>
      </c>
      <c r="E42" s="24">
        <v>13800</v>
      </c>
      <c r="F42" s="24">
        <v>14747.5</v>
      </c>
      <c r="G42" s="19">
        <v>15266.25</v>
      </c>
    </row>
    <row r="43" spans="1:7" x14ac:dyDescent="0.3">
      <c r="A43" s="14" t="s">
        <v>4</v>
      </c>
      <c r="B43" s="14"/>
      <c r="C43" s="7"/>
      <c r="D43" s="7"/>
      <c r="E43" s="13"/>
      <c r="F43" s="13"/>
      <c r="G43" s="7"/>
    </row>
    <row r="44" spans="1:7" x14ac:dyDescent="0.3">
      <c r="B44" s="18" t="s">
        <v>15</v>
      </c>
      <c r="C44" s="25">
        <v>6939.86</v>
      </c>
      <c r="D44" s="19">
        <v>7723.33</v>
      </c>
      <c r="E44" s="25">
        <v>7822.39</v>
      </c>
      <c r="F44" s="25">
        <v>10705.64</v>
      </c>
      <c r="G44" s="25">
        <v>10406.67</v>
      </c>
    </row>
    <row r="45" spans="1:7" x14ac:dyDescent="0.3">
      <c r="A45" s="14" t="s">
        <v>188</v>
      </c>
      <c r="B45" s="14"/>
      <c r="C45" s="136"/>
      <c r="D45" s="147"/>
      <c r="E45" s="136"/>
      <c r="F45" s="136"/>
      <c r="G45" s="136"/>
    </row>
    <row r="46" spans="1:7" ht="18" thickBot="1" x14ac:dyDescent="0.35">
      <c r="B46" s="21" t="s">
        <v>188</v>
      </c>
      <c r="C46" s="26"/>
      <c r="D46" s="22"/>
      <c r="E46" s="26"/>
      <c r="F46" s="26"/>
      <c r="G46" s="26"/>
    </row>
    <row r="47" spans="1:7" ht="18" thickBot="1" x14ac:dyDescent="0.35">
      <c r="B47" s="9" t="s">
        <v>32</v>
      </c>
      <c r="C47" s="10">
        <f t="shared" ref="C47:F47" si="1">SUM(C11:C44)</f>
        <v>53740.590000000004</v>
      </c>
      <c r="D47" s="10">
        <f t="shared" si="1"/>
        <v>46055.420000000006</v>
      </c>
      <c r="E47" s="15">
        <f t="shared" si="1"/>
        <v>51172.83</v>
      </c>
      <c r="F47" s="15">
        <f t="shared" si="1"/>
        <v>56741.89</v>
      </c>
      <c r="G47" s="11">
        <f>SUM(G11:G46)</f>
        <v>60598.080000000002</v>
      </c>
    </row>
    <row r="48" spans="1:7" s="58" customFormat="1" ht="13.8" x14ac:dyDescent="0.3">
      <c r="C48" s="59"/>
      <c r="D48" s="59"/>
      <c r="E48" s="59"/>
      <c r="G48" s="59">
        <v>13860.02</v>
      </c>
    </row>
    <row r="49" spans="3:7" s="63" customFormat="1" ht="13.8" x14ac:dyDescent="0.3">
      <c r="C49" s="65"/>
      <c r="D49" s="65"/>
      <c r="E49" s="65"/>
      <c r="F49" s="65"/>
      <c r="G49" s="65">
        <f>SUM(G47:G48)</f>
        <v>74458.100000000006</v>
      </c>
    </row>
    <row r="50" spans="3:7" s="58" customFormat="1" ht="13.8" x14ac:dyDescent="0.3">
      <c r="C50" s="59"/>
      <c r="D50" s="60"/>
      <c r="E50" s="59"/>
      <c r="F50" s="59"/>
      <c r="G50" s="60"/>
    </row>
    <row r="51" spans="3:7" x14ac:dyDescent="0.3">
      <c r="C51" s="13"/>
      <c r="D51" s="7"/>
      <c r="E51" s="13"/>
      <c r="F51" s="13"/>
      <c r="G51" s="13"/>
    </row>
    <row r="52" spans="3:7" x14ac:dyDescent="0.3">
      <c r="C52" s="13"/>
      <c r="D52" s="7"/>
      <c r="E52" s="13"/>
      <c r="F52" s="13"/>
      <c r="G52" s="13"/>
    </row>
  </sheetData>
  <phoneticPr fontId="17" type="noConversion"/>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e F W G V z J D V 6 m k A A A A 9 g A A A B I A H A B D b 2 5 m a W c v U G F j a 2 F n Z S 5 4 b W w g o h g A K K A U A A A A A A A A A A A A A A A A A A A A A A A A A A A A h Y 9 B D o I w F E S v Q r q n L S U m h n z K w q 0 k J k T j t o G K j f A x t F j u 5 s I j e Q U x i r p z O W / e Y u Z + v U E 2 t k 1 w 0 b 0 1 H a Y k o p w E G s u u M l i n Z H C H c E k y C R t V n l S t g 0 l G m 4 y 2 S s n R u X P C m P e e + p h 2 f c 0 E 5 x H b 5 + u i P O p W k Y 9 s / s u h Q e s U l p p I 2 L 3 G S E E j E d M F F 5 Q D m y H k B r + C m P Y + 2 x 8 I q 6 F x Q 6 + l x n B b A J s j s P c H + Q B Q S w M E F A A C A A g A e F W G 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h V h l c o i k e 4 D g A A A B E A A A A T A B w A R m 9 y b X V s Y X M v U 2 V j d G l v b j E u b S C i G A A o o B Q A A A A A A A A A A A A A A A A A A A A A A A A A A A A r T k 0 u y c z P U w i G 0 I b W A F B L A Q I t A B Q A A g A I A H h V h l c y Q 1 e p p A A A A P Y A A A A S A A A A A A A A A A A A A A A A A A A A A A B D b 2 5 m a W c v U G F j a 2 F n Z S 5 4 b W x Q S w E C L Q A U A A I A C A B 4 V Y Z X D 8 r p q 6 Q A A A D p A A A A E w A A A A A A A A A A A A A A A A D w A A A A W 0 N v b n R l b n R f V H l w Z X N d L n h t b F B L A Q I t A B Q A A g A I A H h V h l 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p W j q v O w P R 6 A V q E D x c p O K A A A A A A I A A A A A A B B m A A A A A Q A A I A A A A E z C 3 p r v H S / n u N W W f c 7 2 c H F O V Z C 3 3 v 0 A 7 Q x f z 0 c c I l U 2 A A A A A A 6 A A A A A A g A A I A A A A D + N + g F K q W d 0 b N v v C 9 1 M X G T N v T C H 9 4 u y e p M 6 v a q i d V 9 f U A A A A A 9 U i h n G g q H R V K h D Q y z O h p 5 W 3 d o I K W Q h c P M 3 F a z 9 3 n v 3 U M D u z K + h u K w y U w u E i k j E P c p I N F w D G k V K i o A d D L J r w D 8 9 r s 9 G 5 w x 2 s z Y F f V u g 3 W W H Q A A A A D y G x Z w l u d z x j V L Z 6 1 U q J S p t R N w T G 0 f J S v d X Y t 8 / H / l r s Z R Y R P 4 m 9 k t Q Q 9 I W t Z J 5 W W 4 f Y 6 m i g M 3 I L K 9 c b 2 f Z A u k = < / D a t a M a s h u p > 
</file>

<file path=customXml/itemProps1.xml><?xml version="1.0" encoding="utf-8"?>
<ds:datastoreItem xmlns:ds="http://schemas.openxmlformats.org/officeDocument/2006/customXml" ds:itemID="{468E7358-D7E0-4F76-B031-6EF494A6240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FY25 Overview</vt:lpstr>
      <vt:lpstr>FY25 Income &amp; Expenses</vt:lpstr>
      <vt:lpstr>Aging</vt:lpstr>
      <vt:lpstr>PGE</vt:lpstr>
      <vt:lpstr>FY25 Budget</vt:lpstr>
      <vt:lpstr>Bank Statements</vt:lpstr>
      <vt:lpstr>Intuit Deposits &amp; Fees</vt:lpstr>
      <vt:lpstr>2020-2024 FYE Numbers</vt:lpstr>
      <vt:lpstr>Aging!Print_Area</vt:lpstr>
      <vt:lpstr>'FY25 Overview'!Print_Area</vt:lpstr>
      <vt:lpstr>PGE!Print_Area</vt:lpstr>
      <vt:lpstr>PGE!Print_Titles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dc:creator>
  <cp:lastModifiedBy>Lynn Van Zandt</cp:lastModifiedBy>
  <cp:lastPrinted>2025-07-10T15:18:13Z</cp:lastPrinted>
  <dcterms:created xsi:type="dcterms:W3CDTF">2022-01-02T19:05:52Z</dcterms:created>
  <dcterms:modified xsi:type="dcterms:W3CDTF">2026-01-04T03:44:21Z</dcterms:modified>
</cp:coreProperties>
</file>